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255" windowWidth="11940" windowHeight="6420" tabRatio="606" activeTab="7"/>
  </bookViews>
  <sheets>
    <sheet name="Income statement" sheetId="1" r:id="rId1"/>
    <sheet name="BS12.09" sheetId="2" state="hidden" r:id="rId2"/>
    <sheet name="balance sheet" sheetId="3" r:id="rId3"/>
    <sheet name="equity statement" sheetId="4" r:id="rId4"/>
    <sheet name="detail cashflow statem" sheetId="5" state="hidden" r:id="rId5"/>
    <sheet name="key info" sheetId="6" state="hidden" r:id="rId6"/>
    <sheet name="CF12.09" sheetId="7" state="hidden" r:id="rId7"/>
    <sheet name="cashflow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a">'cashflow'!$G$15:$G$17</definedName>
    <definedName name="_xlnm.Print_Area" localSheetId="7">'cashflow'!$B$1:$K$78</definedName>
    <definedName name="_xlnm.Print_Area" localSheetId="3">'equity statement'!$A$1:$H$38</definedName>
    <definedName name="_xlnm.Print_Area" localSheetId="0">'Income statement'!$A$1:$M$65</definedName>
  </definedNames>
  <calcPr fullCalcOnLoad="1"/>
</workbook>
</file>

<file path=xl/sharedStrings.xml><?xml version="1.0" encoding="utf-8"?>
<sst xmlns="http://schemas.openxmlformats.org/spreadsheetml/2006/main" count="422" uniqueCount="267">
  <si>
    <t>RM’000</t>
  </si>
  <si>
    <t>Revenue</t>
  </si>
  <si>
    <t>Profit before taxation</t>
  </si>
  <si>
    <t>RM'000</t>
  </si>
  <si>
    <t>Current Assets</t>
  </si>
  <si>
    <t>Share Capital</t>
  </si>
  <si>
    <t>Net tangible assets per share (RM)</t>
  </si>
  <si>
    <t>Adjustments for :</t>
  </si>
  <si>
    <t>Operating profit before working capital changes</t>
  </si>
  <si>
    <t>Interest paid</t>
  </si>
  <si>
    <t>Share Premium</t>
  </si>
  <si>
    <t>Retained Profits</t>
  </si>
  <si>
    <t>TO DATE</t>
  </si>
  <si>
    <t xml:space="preserve">CURRENT YEAR </t>
  </si>
  <si>
    <t xml:space="preserve">30/06/2002 </t>
  </si>
  <si>
    <t>30/06/2001</t>
  </si>
  <si>
    <t>30/06/2002</t>
  </si>
  <si>
    <t>SUMMARY OF KEY FINANCIAL INFORMATION</t>
  </si>
  <si>
    <t>INDIVIDUAL PERIOD</t>
  </si>
  <si>
    <t>CUMMULATIVE PERIOD</t>
  </si>
  <si>
    <t>CURRENT YEAR QUARTER</t>
  </si>
  <si>
    <t>PRECEDING YEAR CORRESPONDING QUARTER</t>
  </si>
  <si>
    <t>PRECEDING YEAR CORRESPONDING PERIOD</t>
  </si>
  <si>
    <t>CURRENT YEAR        TO DATE</t>
  </si>
  <si>
    <t>N/A</t>
  </si>
  <si>
    <t>PRECEDING YEAR</t>
  </si>
  <si>
    <t>CORRESPONDING</t>
  </si>
  <si>
    <t>AS AT END OF</t>
  </si>
  <si>
    <t>CURRENT QUARTER</t>
  </si>
  <si>
    <t>AS AT PRECEDING</t>
  </si>
  <si>
    <t>FINANCIAL YEAR END</t>
  </si>
  <si>
    <t>Cost of sales</t>
  </si>
  <si>
    <t>Gross profit</t>
  </si>
  <si>
    <t>Income tax expense</t>
  </si>
  <si>
    <t>ASSETS</t>
  </si>
  <si>
    <t>Non-current assets</t>
  </si>
  <si>
    <t>Total Assets</t>
  </si>
  <si>
    <t>EQUITY AND LIABILITIES</t>
  </si>
  <si>
    <t>Non-current liabilities</t>
  </si>
  <si>
    <t>Current Liabilities</t>
  </si>
  <si>
    <t>Total liabilities</t>
  </si>
  <si>
    <t>Total equity and liabilities</t>
  </si>
  <si>
    <t>Profit/(Loss) Before Tax</t>
  </si>
  <si>
    <t>Basic Earning/(Loss) Per Share (sen)</t>
  </si>
  <si>
    <t>Net cash generated from operating activities</t>
  </si>
  <si>
    <t>Profit/(Loss) Attributable to</t>
  </si>
  <si>
    <t>ordinary equity holders of the parent</t>
  </si>
  <si>
    <t>Proposed/ Declared Dividend Per Share (sen)</t>
  </si>
  <si>
    <t>Net  Assets Per Share Attributable to ordinary equity holders of the parent (RM)</t>
  </si>
  <si>
    <t>Profit/(Loss) For The Period</t>
  </si>
  <si>
    <t>Other operating income</t>
  </si>
  <si>
    <t>Finance costs</t>
  </si>
  <si>
    <t>Information and the Accountants' Report for the Financial Year ended 31 December 2008 as disclosed in the Prospectus</t>
  </si>
  <si>
    <t>Work-in-progress</t>
  </si>
  <si>
    <t>Inventories</t>
  </si>
  <si>
    <t>Other receivables,deposits &amp; prepayment</t>
  </si>
  <si>
    <t xml:space="preserve">Equity </t>
  </si>
  <si>
    <t>Share capital</t>
  </si>
  <si>
    <t>Hire purchase creditors</t>
  </si>
  <si>
    <t xml:space="preserve">Trade payables </t>
  </si>
  <si>
    <t>Short term borrowings</t>
  </si>
  <si>
    <t>Tax payables</t>
  </si>
  <si>
    <t>Total Equity</t>
  </si>
  <si>
    <t>CASH FLOWS FROM OPERATING ACTIVITIES</t>
  </si>
  <si>
    <t>Depreciation of property, plant and equipment</t>
  </si>
  <si>
    <t>Interest expense</t>
  </si>
  <si>
    <t>Amortisation of prepaid land lease payments</t>
  </si>
  <si>
    <t>Interest income</t>
  </si>
  <si>
    <t>Unrealised gain on foreign exchange</t>
  </si>
  <si>
    <t>Increase in trade payables</t>
  </si>
  <si>
    <t>Tax paid</t>
  </si>
  <si>
    <t>CASH FLOWS FROM INVESTING ACTIVITIES</t>
  </si>
  <si>
    <t>Short term and fixed deposits interest received</t>
  </si>
  <si>
    <t>Purchase of property, plant and equipment</t>
  </si>
  <si>
    <t>Net cash used in investing activities</t>
  </si>
  <si>
    <t>CASH FLOWS FROM FINANCING ACTIVITIES</t>
  </si>
  <si>
    <t>Payment of hire purchase interest</t>
  </si>
  <si>
    <t>Repayment of hire purchase creditors</t>
  </si>
  <si>
    <t>UNAUDITED</t>
  </si>
  <si>
    <t>As at</t>
  </si>
  <si>
    <t>Notes:</t>
  </si>
  <si>
    <t>Short term and fixed deposits with licensed banks</t>
  </si>
  <si>
    <t>Cash and bank balances</t>
  </si>
  <si>
    <t>Bank overdraft</t>
  </si>
  <si>
    <t>FOR THE SECOND QUARTER ENDED 30 JUNE 2009</t>
  </si>
  <si>
    <t>Individual Quarter</t>
  </si>
  <si>
    <t>UNAUDITED CONDENSED CONSOLIDATED STATEMENT OF CHANGES IN EQUITY</t>
  </si>
  <si>
    <t>UNAUDITED CONDENSED CONSOLIDATED CASH FLOW STATEMENT</t>
  </si>
  <si>
    <t>Decrease/(Increase) in inventories</t>
  </si>
  <si>
    <t>(Increase )in work-in-progress</t>
  </si>
  <si>
    <t>Placement of fixed deposits</t>
  </si>
  <si>
    <t>Payment  of term loan interest</t>
  </si>
  <si>
    <t>Repayment of term loan</t>
  </si>
  <si>
    <t xml:space="preserve">less FD pleadged with licenced banks </t>
  </si>
  <si>
    <t>The Condensed Consolidated  Cash Flow Statement should be read in conjunction with the Proforma Consolidated Financial</t>
  </si>
  <si>
    <r>
      <t xml:space="preserve">of the Company dated 29 </t>
    </r>
    <r>
      <rPr>
        <strike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June 2009 and the accompanying notes attached to this interim financial report.</t>
    </r>
  </si>
  <si>
    <t>Cash and cash equivalents comprises :-</t>
  </si>
  <si>
    <t>(Decrease) in other payables and accruals</t>
  </si>
  <si>
    <t xml:space="preserve"> Quarter Ended </t>
  </si>
  <si>
    <t xml:space="preserve"> </t>
  </si>
  <si>
    <t>Cash and cash equivalents at beginning of the period</t>
  </si>
  <si>
    <t>Cash and cash equivalents at the end  of the period</t>
  </si>
  <si>
    <t>Negative Goodwill arising from consolidation</t>
  </si>
  <si>
    <t>Decrease in trade receivables</t>
  </si>
  <si>
    <t>(Increase) in other receivables, deposits and prepayments</t>
  </si>
  <si>
    <t>Net Cash generated from operations</t>
  </si>
  <si>
    <t>Effect of acquisition of subsidiary,net of cash acquired</t>
  </si>
  <si>
    <t>Net (decrease) in bill payable</t>
  </si>
  <si>
    <t>Dividend paid to former shareholders</t>
  </si>
  <si>
    <t>Net cash used in  financing activities</t>
  </si>
  <si>
    <t>Net decrease In cash and cash equivalents equivalents</t>
  </si>
  <si>
    <t>Adjustments for Non Cash items</t>
  </si>
  <si>
    <t>Property, plant and equipment</t>
  </si>
  <si>
    <t>Trade receivables</t>
  </si>
  <si>
    <t>Short term and fixed  deposits with licensed banks</t>
  </si>
  <si>
    <t>Reserves</t>
  </si>
  <si>
    <t>Long term borrowings</t>
  </si>
  <si>
    <t>Deferred taxation</t>
  </si>
  <si>
    <t>Other payables and accruals</t>
  </si>
  <si>
    <t>**** denote RM2.00</t>
  </si>
  <si>
    <t>AUDITED</t>
  </si>
  <si>
    <t>Total equity</t>
  </si>
  <si>
    <t xml:space="preserve">  Attributable to equity holders of the Company</t>
  </si>
  <si>
    <t>HANDAL RESOURCES  BERHAD (816839-X)</t>
  </si>
  <si>
    <t>*** denote RM2.00</t>
  </si>
  <si>
    <r>
      <t xml:space="preserve">Cumulative Period </t>
    </r>
    <r>
      <rPr>
        <b/>
        <strike/>
        <sz val="11"/>
        <rFont val="Arial"/>
        <family val="2"/>
      </rPr>
      <t xml:space="preserve"> </t>
    </r>
  </si>
  <si>
    <t>(i)</t>
  </si>
  <si>
    <t>(ii)</t>
  </si>
  <si>
    <t>Profit  before taxation</t>
  </si>
  <si>
    <t>Profit after tax for the period</t>
  </si>
  <si>
    <t>Net  Assets Per Share Attributable to ordinary equity holders of the Company (RM)</t>
  </si>
  <si>
    <t xml:space="preserve">The net assets per share attributed to ordinary equity holders of the Company  is calculated based on the net assets </t>
  </si>
  <si>
    <t>Decrease in other receivables, deposits and prepayments</t>
  </si>
  <si>
    <t>Decrease in other payables and accruals</t>
  </si>
  <si>
    <t>Net cash generated from  investing activities</t>
  </si>
  <si>
    <t>Cash and cash equivalents at  end  of the period</t>
  </si>
  <si>
    <t>Depreciation and amortisation cost</t>
  </si>
  <si>
    <t>Administration and other operating expenses</t>
  </si>
  <si>
    <t xml:space="preserve"> FD pledged with licenced banks </t>
  </si>
  <si>
    <t>Current Quarter ended</t>
  </si>
  <si>
    <t>30 September 2009</t>
  </si>
  <si>
    <t xml:space="preserve">Basic earnings per share for the quarter and financial period is calculated based on the net profit  divided by the weighted </t>
  </si>
  <si>
    <t>average number of ordinary shares for the  quarter and financial period respectively.</t>
  </si>
  <si>
    <t xml:space="preserve">Share premium </t>
  </si>
  <si>
    <t>Increase in trade receivables</t>
  </si>
  <si>
    <t xml:space="preserve">Net increase in cash and cash equivalents </t>
  </si>
  <si>
    <t xml:space="preserve">Weighted average no. of ordinary </t>
  </si>
  <si>
    <t>shares in issue (' 000)</t>
  </si>
  <si>
    <t>Cash on hand and at bank</t>
  </si>
  <si>
    <t>Note **</t>
  </si>
  <si>
    <t xml:space="preserve"> launching of prospectus,listing roadshow with fund managers and investment bankers and Public Relation exercise. </t>
  </si>
  <si>
    <t>Goodwill arising on consolidation</t>
  </si>
  <si>
    <t>These expenses consist of RM1,400,000 professional fees for listing exercise and RM1,120,000 expenses incurred during</t>
  </si>
  <si>
    <t>Shareholders' Fund</t>
  </si>
  <si>
    <t>Minority Interests</t>
  </si>
  <si>
    <t>CONSOLIDATED BALANCE SHEET</t>
  </si>
  <si>
    <t>AS AT 31 DECEMBER 2009</t>
  </si>
  <si>
    <t xml:space="preserve">  RM</t>
  </si>
  <si>
    <t>Prepaid land lease payments</t>
  </si>
  <si>
    <t>Goodwill on consolidation</t>
  </si>
  <si>
    <t>Current assets</t>
  </si>
  <si>
    <t>Amount due from customers for contract works</t>
  </si>
  <si>
    <t>Other receivables, deposits and prepayments</t>
  </si>
  <si>
    <t>Short term investment</t>
  </si>
  <si>
    <t xml:space="preserve">Cash on hand and at banks </t>
  </si>
  <si>
    <t>TOTAL ASSETS</t>
  </si>
  <si>
    <t>Equity attributable to shareholders of the Company</t>
  </si>
  <si>
    <t>Borrowings</t>
  </si>
  <si>
    <t>Current liabilities</t>
  </si>
  <si>
    <t>Trade payables</t>
  </si>
  <si>
    <t>Current tax payable</t>
  </si>
  <si>
    <t>TOTAL LIABILITIES</t>
  </si>
  <si>
    <t>TOTAL EQUITY AND LIABILITIES</t>
  </si>
  <si>
    <t>HANDAL RESOURCES BERHAD</t>
  </si>
  <si>
    <t>(Incorporated in Malaysia)</t>
  </si>
  <si>
    <t>AND ITS SUBSIDIARIES</t>
  </si>
  <si>
    <t>CONSOLIDATED CASH FLOW STATEMENT</t>
  </si>
  <si>
    <t>FOR THE YEAR ENDED 31 DECEMBER 2009</t>
  </si>
  <si>
    <t>Note</t>
  </si>
  <si>
    <t>RM</t>
  </si>
  <si>
    <t>Unrealised loss on foreign exchange</t>
  </si>
  <si>
    <t>Income from short term investment</t>
  </si>
  <si>
    <t>Excess of fair value over acquisition cost of subsidiary</t>
  </si>
  <si>
    <t>Decrease in inventories</t>
  </si>
  <si>
    <t>Decrease in work-in-progress</t>
  </si>
  <si>
    <t>Increase in amount due from customers for contract works</t>
  </si>
  <si>
    <t>Cash generated from operations</t>
  </si>
  <si>
    <t>Effect of acquisition of subsidiary companies,</t>
  </si>
  <si>
    <t>net of cash acquired</t>
  </si>
  <si>
    <t xml:space="preserve">Interest received </t>
  </si>
  <si>
    <t>Short term investment income received</t>
  </si>
  <si>
    <t>Net cash generated from investing activities</t>
  </si>
  <si>
    <t>Proceeds from issuance of shares</t>
  </si>
  <si>
    <t>Net drawdown of term loan</t>
  </si>
  <si>
    <t>Payment of term loan interest</t>
  </si>
  <si>
    <t>Payment of interest on medium term notes</t>
  </si>
  <si>
    <t xml:space="preserve">Payment of share issue and listing expenses </t>
  </si>
  <si>
    <t>Net decrease in bills payable</t>
  </si>
  <si>
    <t xml:space="preserve">Repayment of medium term notes </t>
  </si>
  <si>
    <t>Net cash generated from financing activities</t>
  </si>
  <si>
    <t>NET INCREASE IN CASH AND CASH EQUIVALENTS</t>
  </si>
  <si>
    <t>CASH AND CASH EQUIVALENTS AT BEGINNING OF YEAR</t>
  </si>
  <si>
    <t>CASH AND CASH EQUIVALENTS AT END OF YEAR</t>
  </si>
  <si>
    <t>Cash and cash equivalents included in the cash flow statements comprise the following balance sheets amounts :</t>
  </si>
  <si>
    <t>Group</t>
  </si>
  <si>
    <t>Short term investment (Note 9)</t>
  </si>
  <si>
    <t>Short term and fixed deposits</t>
  </si>
  <si>
    <t>with licensed banks</t>
  </si>
  <si>
    <t>Cash on hand and at banks</t>
  </si>
  <si>
    <t>Bank overdrafts (Note 14)</t>
  </si>
  <si>
    <t>Less : Fixed deposits pledged to</t>
  </si>
  <si>
    <t xml:space="preserve">          licensed banks (Note 10)</t>
  </si>
  <si>
    <t>CASH AND CASH EQUIVALENTS</t>
  </si>
  <si>
    <t>Current Quarter Ended          31 March 2010</t>
  </si>
  <si>
    <t>Corresponding                Year To Date                                           31 December  2009</t>
  </si>
  <si>
    <t>Non- controlling Interest</t>
  </si>
  <si>
    <t>UNAUDITED CONDENSED CONSOLIDATED STATEMENT OF FINANCIAL POSITION</t>
  </si>
  <si>
    <t>The Condensed Consolidated  Statement of financial position should be read in conjunction with the audited financial statements</t>
  </si>
  <si>
    <t>UNAUDITED CONDENSED CONSOLIDATED STATEMENT OF COMPREHENSIVE INCOME</t>
  </si>
  <si>
    <t>Other comprehensive income</t>
  </si>
  <si>
    <t>Total other comprehensive income</t>
  </si>
  <si>
    <t>Total comprehensive income for the period</t>
  </si>
  <si>
    <t xml:space="preserve">Total comprehensive income attributable to </t>
  </si>
  <si>
    <t>owners of the parent</t>
  </si>
  <si>
    <t>Earnings  per share - Basic (sen)</t>
  </si>
  <si>
    <t xml:space="preserve">The Condensed Consolidated Statement of comprehensive income should be read in conjunction with the audited financial </t>
  </si>
  <si>
    <t xml:space="preserve">The Condensed Consolidated  Statement of Changes in Equity should be read in conjunction with the audited financial statements </t>
  </si>
  <si>
    <t>The Condensed Consolidated  Statement of Cashflow should be read in conjunction with the audited financial</t>
  </si>
  <si>
    <t>Dividend paid</t>
  </si>
  <si>
    <t>Profit attributable to:</t>
  </si>
  <si>
    <t>Equity holders of the parent</t>
  </si>
  <si>
    <t>Non-controlling Interest</t>
  </si>
  <si>
    <t>Preceding Year Corresponding Period</t>
  </si>
  <si>
    <t>Preceding Year Corresponding Quarter</t>
  </si>
  <si>
    <t>Net increase/(decrease) in bills payable</t>
  </si>
  <si>
    <t>(Repayment)/Draw down of Term Loan</t>
  </si>
  <si>
    <t>31 December 2010</t>
  </si>
  <si>
    <t>Cumulative Year To Date</t>
  </si>
  <si>
    <t>Decrease/(Increase)  in Inventories</t>
  </si>
  <si>
    <t>Decrease/(Increase) in work-in-progress</t>
  </si>
  <si>
    <t>Decrease/(Increase) in amount due from customers for contract works</t>
  </si>
  <si>
    <t>Decrease/(Increase) in other receivables, deposits and prepayments</t>
  </si>
  <si>
    <t>Amount due from contract customers</t>
  </si>
  <si>
    <t>Amount due to contract customers</t>
  </si>
  <si>
    <t xml:space="preserve"> for the financial year ended 31 December 2010 and the accompanying notes attached to this interim financial report.</t>
  </si>
  <si>
    <t>Balance as at 1 Jan 2011</t>
  </si>
  <si>
    <t>Total comprehensive income for the year</t>
  </si>
  <si>
    <t>statements for the financial year ended 31 December 2010 and the accompanying notes attached to this interim financial report.</t>
  </si>
  <si>
    <t>(Decrease)/Increase in amount due to customers for contract works</t>
  </si>
  <si>
    <t>Decrease/(Increase) in trade receivables</t>
  </si>
  <si>
    <t>(Decrease)/Increase  in trade payables</t>
  </si>
  <si>
    <t>(Decrease)/Increase in other payables and accruals</t>
  </si>
  <si>
    <t>Proceeds from Rights Issue</t>
  </si>
  <si>
    <t>30 June 2011</t>
  </si>
  <si>
    <t>30 June 2010</t>
  </si>
  <si>
    <t>Capitalization of Bonus Issue</t>
  </si>
  <si>
    <t>New Rights Issue</t>
  </si>
  <si>
    <t>Repayment of medium term notes</t>
  </si>
  <si>
    <t>divided  by the number of ordinary shares in issue as at Balance Sheet date.</t>
  </si>
  <si>
    <t>FOR THE THIRD QUARTER ENDED 30 SEPTEMBER 2011</t>
  </si>
  <si>
    <t>30 September 2011</t>
  </si>
  <si>
    <t>30 September 2010</t>
  </si>
  <si>
    <t>AS AT 30 SEPTEMBER 2011</t>
  </si>
  <si>
    <t>Balance as at 30 September 2011</t>
  </si>
  <si>
    <t>FOR THE FINANCIAL YEAR ENDED 30 SEPTEMBER 2011</t>
  </si>
  <si>
    <t>Period Ended                             30 September 2011</t>
  </si>
  <si>
    <t>Preceding year Corresponding                Period                                         30 September 2010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</si>
</sst>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??/???"/>
    <numFmt numFmtId="165" formatCode="_(* #,##0.0_);_(* \(#,##0.0\);_(* &quot;-&quot;??_);_(@_)"/>
    <numFmt numFmtId="166" formatCode="_(* #,##0_);_(* \(#,##0\);_(* &quot;-&quot;??_);_(@_)"/>
    <numFmt numFmtId="167" formatCode="#,##0.0"/>
    <numFmt numFmtId="168" formatCode="#,##0.000"/>
    <numFmt numFmtId="169" formatCode="0_);\(0\)"/>
    <numFmt numFmtId="170" formatCode="00000"/>
    <numFmt numFmtId="171" formatCode="0.0"/>
    <numFmt numFmtId="172" formatCode="0.E+00"/>
    <numFmt numFmtId="173" formatCode="000\-00\-0000"/>
    <numFmt numFmtId="174" formatCode="_(* #,##0.0_);_(* \(#,##0.0\);_(* &quot;-&quot;_);_(@_)"/>
    <numFmt numFmtId="175" formatCode="_(* #,##0.00_);_(* \(#,##0.00\);_(* &quot;-&quot;_);_(@_)"/>
    <numFmt numFmtId="176" formatCode="#,##0.0_);\(#,##0.0\)"/>
    <numFmt numFmtId="177" formatCode="#,##0.000_);\(#,##0.000\)"/>
    <numFmt numFmtId="178" formatCode="#,##0.0000_);\(#,##0.0000\)"/>
    <numFmt numFmtId="179" formatCode="#,##0.00000_);\(#,##0.00000\)"/>
    <numFmt numFmtId="180" formatCode="#,##0.000000_);\(#,##0.000000\)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00000_);_(* \(#,##0.000000\);_(* &quot;-&quot;??_);_(@_)"/>
    <numFmt numFmtId="185" formatCode="_(* #,##0.000_);_(* \(#,##0.000\);_(* &quot;-&quot;_);_(@_)"/>
    <numFmt numFmtId="186" formatCode="_(* #,##0.0000_);_(* \(#,##0.0000\);_(* &quot;-&quot;_);_(@_)"/>
    <numFmt numFmtId="187" formatCode="_(* #,##0.00000_);_(* \(#,##0.00000\);_(* &quot;-&quot;_);_(@_)"/>
    <numFmt numFmtId="188" formatCode="_(* #,##0.000000_);_(* \(#,##0.000000\);_(* &quot;-&quot;_);_(@_)"/>
    <numFmt numFmtId="189" formatCode="_(* #,##0.0000000_);_(* \(#,##0.0000000\);_(* &quot;-&quot;_);_(@_)"/>
    <numFmt numFmtId="190" formatCode="_(* #,##0.00000000_);_(* \(#,##0.00000000\);_(* &quot;-&quot;_);_(@_)"/>
    <numFmt numFmtId="191" formatCode="_(* #,##0.000000000_);_(* \(#,##0.000000000\);_(* &quot;-&quot;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409]dddd\,\ mmmm\ dd\,\ yyyy"/>
    <numFmt numFmtId="197" formatCode="[$-409]d/mmm/yyyy;@"/>
    <numFmt numFmtId="198" formatCode="[$-409]h:mm:ss\ AM/PM"/>
    <numFmt numFmtId="199" formatCode="#,##0;[Red]#,##0"/>
  </numFmts>
  <fonts count="8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trike/>
      <sz val="10"/>
      <color indexed="8"/>
      <name val="Arial"/>
      <family val="2"/>
    </font>
    <font>
      <b/>
      <strike/>
      <sz val="11"/>
      <name val="Arial"/>
      <family val="2"/>
    </font>
    <font>
      <sz val="11"/>
      <color indexed="12"/>
      <name val="Arial"/>
      <family val="2"/>
    </font>
    <font>
      <b/>
      <u val="single"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trike/>
      <sz val="12"/>
      <color indexed="12"/>
      <name val="Arial"/>
      <family val="2"/>
    </font>
    <font>
      <sz val="12"/>
      <color indexed="12"/>
      <name val="Arial"/>
      <family val="2"/>
    </font>
    <font>
      <u val="single"/>
      <sz val="11"/>
      <name val="Arial"/>
      <family val="2"/>
    </font>
    <font>
      <b/>
      <sz val="11"/>
      <color indexed="12"/>
      <name val="Arial"/>
      <family val="2"/>
    </font>
    <font>
      <sz val="14"/>
      <name val="Arial"/>
      <family val="2"/>
    </font>
    <font>
      <sz val="13"/>
      <color indexed="8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i/>
      <sz val="10"/>
      <color indexed="59"/>
      <name val="Calibri"/>
      <family val="2"/>
    </font>
    <font>
      <sz val="12"/>
      <color indexed="8"/>
      <name val="Arial"/>
      <family val="2"/>
    </font>
    <font>
      <b/>
      <i/>
      <sz val="11"/>
      <color indexed="59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Times New Roman"/>
      <family val="1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i/>
      <sz val="10"/>
      <color theme="2" tint="-0.8999800086021423"/>
      <name val="Calibri"/>
      <family val="2"/>
    </font>
    <font>
      <sz val="12"/>
      <color theme="1"/>
      <name val="Arial"/>
      <family val="2"/>
    </font>
    <font>
      <b/>
      <i/>
      <sz val="11"/>
      <color theme="2" tint="-0.8999800086021423"/>
      <name val="Arial"/>
      <family val="2"/>
    </font>
    <font>
      <sz val="13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Times New Roman"/>
      <family val="1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52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3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37" fontId="0" fillId="0" borderId="0" xfId="0" applyNumberFormat="1" applyAlignment="1">
      <alignment horizontal="center"/>
    </xf>
    <xf numFmtId="39" fontId="0" fillId="0" borderId="0" xfId="0" applyNumberFormat="1" applyAlignment="1">
      <alignment horizontal="center"/>
    </xf>
    <xf numFmtId="37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166" fontId="5" fillId="0" borderId="0" xfId="42" applyNumberFormat="1" applyFont="1" applyAlignment="1">
      <alignment horizontal="right" vertical="top" wrapText="1"/>
    </xf>
    <xf numFmtId="166" fontId="5" fillId="0" borderId="10" xfId="42" applyNumberFormat="1" applyFont="1" applyBorder="1" applyAlignment="1">
      <alignment horizontal="right" vertical="top" wrapText="1"/>
    </xf>
    <xf numFmtId="166" fontId="5" fillId="0" borderId="11" xfId="42" applyNumberFormat="1" applyFont="1" applyBorder="1" applyAlignment="1">
      <alignment horizontal="right" vertical="top" wrapText="1"/>
    </xf>
    <xf numFmtId="0" fontId="5" fillId="0" borderId="0" xfId="0" applyFont="1" applyAlignment="1">
      <alignment horizontal="justify" vertical="top" wrapText="1"/>
    </xf>
    <xf numFmtId="0" fontId="4" fillId="0" borderId="0" xfId="0" applyFont="1" applyAlignment="1">
      <alignment horizontal="left" vertical="top" wrapText="1"/>
    </xf>
    <xf numFmtId="166" fontId="5" fillId="0" borderId="10" xfId="42" applyNumberFormat="1" applyFont="1" applyBorder="1" applyAlignment="1">
      <alignment vertical="top" wrapText="1"/>
    </xf>
    <xf numFmtId="166" fontId="5" fillId="0" borderId="12" xfId="42" applyNumberFormat="1" applyFont="1" applyBorder="1" applyAlignment="1">
      <alignment horizontal="right" vertical="top" wrapText="1"/>
    </xf>
    <xf numFmtId="166" fontId="5" fillId="0" borderId="0" xfId="42" applyNumberFormat="1" applyFont="1" applyBorder="1" applyAlignment="1">
      <alignment horizontal="right" vertical="top" wrapText="1"/>
    </xf>
    <xf numFmtId="166" fontId="0" fillId="0" borderId="0" xfId="42" applyNumberFormat="1" applyFont="1" applyAlignment="1">
      <alignment horizontal="right" vertical="top" wrapText="1"/>
    </xf>
    <xf numFmtId="166" fontId="0" fillId="0" borderId="10" xfId="42" applyNumberFormat="1" applyFont="1" applyBorder="1" applyAlignment="1">
      <alignment horizontal="right" vertical="top" wrapText="1"/>
    </xf>
    <xf numFmtId="166" fontId="0" fillId="0" borderId="0" xfId="42" applyNumberFormat="1" applyFont="1" applyBorder="1" applyAlignment="1">
      <alignment horizontal="right" vertical="top" wrapText="1"/>
    </xf>
    <xf numFmtId="166" fontId="0" fillId="0" borderId="0" xfId="42" applyNumberFormat="1" applyFont="1" applyAlignment="1">
      <alignment/>
    </xf>
    <xf numFmtId="166" fontId="0" fillId="0" borderId="12" xfId="42" applyNumberFormat="1" applyFont="1" applyBorder="1" applyAlignment="1">
      <alignment horizontal="right" vertical="top" wrapText="1"/>
    </xf>
    <xf numFmtId="166" fontId="5" fillId="0" borderId="13" xfId="42" applyNumberFormat="1" applyFont="1" applyBorder="1" applyAlignment="1">
      <alignment horizontal="right" vertical="top" wrapText="1"/>
    </xf>
    <xf numFmtId="166" fontId="0" fillId="0" borderId="13" xfId="42" applyNumberFormat="1" applyFont="1" applyBorder="1" applyAlignment="1">
      <alignment horizontal="right" vertical="top" wrapText="1"/>
    </xf>
    <xf numFmtId="0" fontId="4" fillId="0" borderId="0" xfId="0" applyFont="1" applyAlignment="1">
      <alignment horizontal="justify" vertical="top" wrapText="1"/>
    </xf>
    <xf numFmtId="0" fontId="5" fillId="0" borderId="0" xfId="0" applyFont="1" applyAlignment="1">
      <alignment vertical="top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71" fillId="0" borderId="0" xfId="0" applyFont="1" applyAlignment="1">
      <alignment vertical="top" wrapText="1"/>
    </xf>
    <xf numFmtId="0" fontId="71" fillId="0" borderId="0" xfId="0" applyFont="1" applyAlignment="1">
      <alignment horizontal="justify" vertical="top" wrapText="1"/>
    </xf>
    <xf numFmtId="0" fontId="71" fillId="0" borderId="0" xfId="0" applyFont="1" applyAlignment="1">
      <alignment horizontal="left" vertical="top" wrapText="1"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166" fontId="0" fillId="0" borderId="14" xfId="0" applyNumberFormat="1" applyFont="1" applyBorder="1" applyAlignment="1">
      <alignment/>
    </xf>
    <xf numFmtId="0" fontId="73" fillId="0" borderId="0" xfId="0" applyFont="1" applyAlignment="1">
      <alignment/>
    </xf>
    <xf numFmtId="0" fontId="0" fillId="0" borderId="14" xfId="0" applyFont="1" applyBorder="1" applyAlignment="1">
      <alignment horizontal="right"/>
    </xf>
    <xf numFmtId="166" fontId="4" fillId="0" borderId="0" xfId="42" applyNumberFormat="1" applyFont="1" applyAlignment="1">
      <alignment horizontal="right" vertical="top" wrapText="1"/>
    </xf>
    <xf numFmtId="166" fontId="4" fillId="0" borderId="10" xfId="42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166" fontId="0" fillId="0" borderId="0" xfId="0" applyNumberFormat="1" applyAlignment="1">
      <alignment/>
    </xf>
    <xf numFmtId="166" fontId="4" fillId="0" borderId="10" xfId="42" applyNumberFormat="1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3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37" fontId="5" fillId="0" borderId="0" xfId="0" applyNumberFormat="1" applyFont="1" applyFill="1" applyAlignment="1">
      <alignment horizontal="center"/>
    </xf>
    <xf numFmtId="37" fontId="5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39" fontId="5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37" fontId="13" fillId="0" borderId="0" xfId="0" applyNumberFormat="1" applyFont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37" fontId="14" fillId="0" borderId="0" xfId="0" applyNumberFormat="1" applyFont="1" applyBorder="1" applyAlignment="1">
      <alignment horizontal="center"/>
    </xf>
    <xf numFmtId="37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left"/>
    </xf>
    <xf numFmtId="37" fontId="14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39" fontId="14" fillId="0" borderId="0" xfId="0" applyNumberFormat="1" applyFont="1" applyAlignment="1">
      <alignment horizontal="center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74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3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6" fontId="5" fillId="0" borderId="0" xfId="42" applyNumberFormat="1" applyFont="1" applyAlignment="1">
      <alignment horizontal="center" vertical="center"/>
    </xf>
    <xf numFmtId="166" fontId="4" fillId="0" borderId="14" xfId="42" applyNumberFormat="1" applyFont="1" applyBorder="1" applyAlignment="1">
      <alignment horizontal="center" vertical="center"/>
    </xf>
    <xf numFmtId="37" fontId="5" fillId="0" borderId="0" xfId="0" applyNumberFormat="1" applyFont="1" applyAlignment="1">
      <alignment vertical="center"/>
    </xf>
    <xf numFmtId="37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66" fontId="5" fillId="0" borderId="0" xfId="42" applyNumberFormat="1" applyFont="1" applyAlignment="1">
      <alignment/>
    </xf>
    <xf numFmtId="166" fontId="5" fillId="0" borderId="0" xfId="0" applyNumberFormat="1" applyFont="1" applyAlignment="1">
      <alignment/>
    </xf>
    <xf numFmtId="0" fontId="75" fillId="0" borderId="0" xfId="0" applyFont="1" applyAlignment="1">
      <alignment/>
    </xf>
    <xf numFmtId="0" fontId="13" fillId="0" borderId="0" xfId="0" applyFont="1" applyAlignment="1">
      <alignment horizontal="right"/>
    </xf>
    <xf numFmtId="37" fontId="14" fillId="0" borderId="0" xfId="0" applyNumberFormat="1" applyFont="1" applyBorder="1" applyAlignment="1">
      <alignment horizontal="right"/>
    </xf>
    <xf numFmtId="37" fontId="14" fillId="0" borderId="10" xfId="0" applyNumberFormat="1" applyFont="1" applyBorder="1" applyAlignment="1">
      <alignment horizontal="right"/>
    </xf>
    <xf numFmtId="37" fontId="14" fillId="0" borderId="0" xfId="0" applyNumberFormat="1" applyFont="1" applyAlignment="1">
      <alignment horizontal="right"/>
    </xf>
    <xf numFmtId="37" fontId="13" fillId="0" borderId="14" xfId="0" applyNumberFormat="1" applyFont="1" applyBorder="1" applyAlignment="1">
      <alignment horizontal="right"/>
    </xf>
    <xf numFmtId="166" fontId="4" fillId="0" borderId="0" xfId="42" applyNumberFormat="1" applyFont="1" applyAlignment="1">
      <alignment horizontal="center" vertical="center"/>
    </xf>
    <xf numFmtId="166" fontId="4" fillId="0" borderId="12" xfId="42" applyNumberFormat="1" applyFont="1" applyBorder="1" applyAlignment="1">
      <alignment horizontal="right" vertical="top" wrapText="1"/>
    </xf>
    <xf numFmtId="166" fontId="4" fillId="0" borderId="0" xfId="42" applyNumberFormat="1" applyFont="1" applyBorder="1" applyAlignment="1">
      <alignment horizontal="right" vertical="top" wrapText="1"/>
    </xf>
    <xf numFmtId="166" fontId="4" fillId="0" borderId="14" xfId="0" applyNumberFormat="1" applyFont="1" applyBorder="1" applyAlignment="1">
      <alignment/>
    </xf>
    <xf numFmtId="37" fontId="14" fillId="0" borderId="15" xfId="0" applyNumberFormat="1" applyFont="1" applyBorder="1" applyAlignment="1">
      <alignment horizontal="right"/>
    </xf>
    <xf numFmtId="0" fontId="5" fillId="33" borderId="0" xfId="0" applyFont="1" applyFill="1" applyAlignment="1">
      <alignment/>
    </xf>
    <xf numFmtId="166" fontId="6" fillId="34" borderId="0" xfId="42" applyNumberFormat="1" applyFont="1" applyFill="1" applyAlignment="1">
      <alignment/>
    </xf>
    <xf numFmtId="166" fontId="14" fillId="0" borderId="10" xfId="42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right"/>
    </xf>
    <xf numFmtId="3" fontId="19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166" fontId="5" fillId="0" borderId="10" xfId="42" applyNumberFormat="1" applyFont="1" applyBorder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166" fontId="5" fillId="0" borderId="0" xfId="42" applyNumberFormat="1" applyFont="1" applyAlignment="1" quotePrefix="1">
      <alignment/>
    </xf>
    <xf numFmtId="37" fontId="5" fillId="0" borderId="0" xfId="0" applyNumberFormat="1" applyFont="1" applyAlignment="1">
      <alignment horizontal="right"/>
    </xf>
    <xf numFmtId="37" fontId="5" fillId="0" borderId="14" xfId="0" applyNumberFormat="1" applyFont="1" applyBorder="1" applyAlignment="1">
      <alignment horizontal="right"/>
    </xf>
    <xf numFmtId="37" fontId="0" fillId="0" borderId="0" xfId="0" applyNumberFormat="1" applyAlignment="1">
      <alignment/>
    </xf>
    <xf numFmtId="37" fontId="5" fillId="0" borderId="0" xfId="0" applyNumberFormat="1" applyFont="1" applyBorder="1" applyAlignment="1">
      <alignment horizontal="right"/>
    </xf>
    <xf numFmtId="37" fontId="5" fillId="0" borderId="16" xfId="0" applyNumberFormat="1" applyFont="1" applyBorder="1" applyAlignment="1">
      <alignment horizontal="right"/>
    </xf>
    <xf numFmtId="37" fontId="5" fillId="0" borderId="12" xfId="0" applyNumberFormat="1" applyFont="1" applyBorder="1" applyAlignment="1">
      <alignment horizontal="right"/>
    </xf>
    <xf numFmtId="37" fontId="14" fillId="0" borderId="11" xfId="0" applyNumberFormat="1" applyFont="1" applyBorder="1" applyAlignment="1">
      <alignment horizontal="right"/>
    </xf>
    <xf numFmtId="37" fontId="14" fillId="0" borderId="17" xfId="0" applyNumberFormat="1" applyFont="1" applyBorder="1" applyAlignment="1">
      <alignment horizontal="right"/>
    </xf>
    <xf numFmtId="9" fontId="5" fillId="0" borderId="0" xfId="60" applyFont="1" applyAlignment="1">
      <alignment/>
    </xf>
    <xf numFmtId="0" fontId="52" fillId="0" borderId="0" xfId="57">
      <alignment/>
      <protection/>
    </xf>
    <xf numFmtId="0" fontId="79" fillId="0" borderId="0" xfId="57" applyFont="1">
      <alignment/>
      <protection/>
    </xf>
    <xf numFmtId="0" fontId="79" fillId="0" borderId="0" xfId="57" applyFont="1" applyAlignment="1">
      <alignment horizontal="right" vertical="top" wrapText="1"/>
      <protection/>
    </xf>
    <xf numFmtId="0" fontId="77" fillId="0" borderId="0" xfId="57" applyFont="1" applyAlignment="1">
      <alignment horizontal="right" vertical="top" wrapText="1"/>
      <protection/>
    </xf>
    <xf numFmtId="0" fontId="80" fillId="0" borderId="0" xfId="57" applyFont="1" applyAlignment="1">
      <alignment wrapText="1"/>
      <protection/>
    </xf>
    <xf numFmtId="0" fontId="77" fillId="0" borderId="0" xfId="57" applyFont="1">
      <alignment/>
      <protection/>
    </xf>
    <xf numFmtId="0" fontId="79" fillId="0" borderId="0" xfId="57" applyFont="1" applyAlignment="1">
      <alignment vertical="top" wrapText="1"/>
      <protection/>
    </xf>
    <xf numFmtId="0" fontId="77" fillId="0" borderId="0" xfId="57" applyFont="1" applyAlignment="1">
      <alignment vertical="top" wrapText="1"/>
      <protection/>
    </xf>
    <xf numFmtId="3" fontId="77" fillId="0" borderId="0" xfId="57" applyNumberFormat="1" applyFont="1" applyAlignment="1">
      <alignment horizontal="right" vertical="top" wrapText="1"/>
      <protection/>
    </xf>
    <xf numFmtId="3" fontId="77" fillId="0" borderId="10" xfId="57" applyNumberFormat="1" applyFont="1" applyBorder="1" applyAlignment="1">
      <alignment horizontal="right" vertical="top" wrapText="1"/>
      <protection/>
    </xf>
    <xf numFmtId="3" fontId="77" fillId="0" borderId="12" xfId="57" applyNumberFormat="1" applyFont="1" applyBorder="1" applyAlignment="1">
      <alignment horizontal="right" vertical="top" wrapText="1"/>
      <protection/>
    </xf>
    <xf numFmtId="0" fontId="80" fillId="0" borderId="0" xfId="57" applyFont="1" applyAlignment="1">
      <alignment horizontal="right" wrapText="1"/>
      <protection/>
    </xf>
    <xf numFmtId="0" fontId="5" fillId="0" borderId="0" xfId="0" applyFont="1" applyAlignment="1">
      <alignment horizontal="justify"/>
    </xf>
    <xf numFmtId="0" fontId="22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0" fillId="0" borderId="0" xfId="0" applyAlignment="1">
      <alignment horizontal="right"/>
    </xf>
    <xf numFmtId="0" fontId="22" fillId="0" borderId="0" xfId="0" applyFont="1" applyAlignment="1">
      <alignment horizontal="right" wrapText="1"/>
    </xf>
    <xf numFmtId="3" fontId="5" fillId="0" borderId="0" xfId="0" applyNumberFormat="1" applyFont="1" applyAlignment="1">
      <alignment horizontal="right" vertical="top" wrapText="1"/>
    </xf>
    <xf numFmtId="3" fontId="5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right" vertical="top" wrapText="1"/>
    </xf>
    <xf numFmtId="3" fontId="5" fillId="0" borderId="12" xfId="0" applyNumberFormat="1" applyFont="1" applyBorder="1" applyAlignment="1">
      <alignment horizontal="right" vertical="top" wrapText="1"/>
    </xf>
    <xf numFmtId="166" fontId="4" fillId="0" borderId="15" xfId="42" applyNumberFormat="1" applyFont="1" applyBorder="1" applyAlignment="1">
      <alignment horizontal="right" vertical="top" wrapText="1"/>
    </xf>
    <xf numFmtId="0" fontId="4" fillId="0" borderId="0" xfId="0" applyFont="1" applyAlignment="1">
      <alignment horizontal="justify"/>
    </xf>
    <xf numFmtId="0" fontId="4" fillId="0" borderId="1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3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top" wrapText="1"/>
    </xf>
    <xf numFmtId="3" fontId="5" fillId="0" borderId="0" xfId="0" applyNumberFormat="1" applyFont="1" applyBorder="1" applyAlignment="1">
      <alignment horizontal="justify" vertical="top" wrapText="1"/>
    </xf>
    <xf numFmtId="37" fontId="4" fillId="0" borderId="14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37" fontId="5" fillId="0" borderId="16" xfId="0" applyNumberFormat="1" applyFont="1" applyFill="1" applyBorder="1" applyAlignment="1">
      <alignment horizontal="right"/>
    </xf>
    <xf numFmtId="166" fontId="4" fillId="0" borderId="0" xfId="42" applyNumberFormat="1" applyFont="1" applyBorder="1" applyAlignment="1">
      <alignment vertical="top" wrapText="1"/>
    </xf>
    <xf numFmtId="166" fontId="5" fillId="0" borderId="0" xfId="42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37" fontId="5" fillId="0" borderId="0" xfId="0" applyNumberFormat="1" applyFont="1" applyFill="1" applyBorder="1" applyAlignment="1">
      <alignment horizontal="right"/>
    </xf>
    <xf numFmtId="39" fontId="5" fillId="0" borderId="0" xfId="0" applyNumberFormat="1" applyFont="1" applyFill="1" applyAlignment="1">
      <alignment horizontal="right"/>
    </xf>
    <xf numFmtId="0" fontId="23" fillId="0" borderId="0" xfId="0" applyFont="1" applyAlignment="1">
      <alignment horizontal="center"/>
    </xf>
    <xf numFmtId="41" fontId="14" fillId="0" borderId="0" xfId="0" applyNumberFormat="1" applyFont="1" applyBorder="1" applyAlignment="1">
      <alignment horizontal="right"/>
    </xf>
    <xf numFmtId="41" fontId="14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166" fontId="4" fillId="0" borderId="14" xfId="42" applyNumberFormat="1" applyFont="1" applyBorder="1" applyAlignment="1">
      <alignment horizontal="right" vertical="top" wrapText="1"/>
    </xf>
    <xf numFmtId="37" fontId="5" fillId="0" borderId="10" xfId="0" applyNumberFormat="1" applyFont="1" applyBorder="1" applyAlignment="1">
      <alignment/>
    </xf>
    <xf numFmtId="37" fontId="5" fillId="0" borderId="0" xfId="0" applyNumberFormat="1" applyFont="1" applyAlignment="1">
      <alignment/>
    </xf>
    <xf numFmtId="43" fontId="5" fillId="0" borderId="0" xfId="42" applyFont="1" applyBorder="1" applyAlignment="1">
      <alignment horizontal="right"/>
    </xf>
    <xf numFmtId="43" fontId="5" fillId="0" borderId="0" xfId="42" applyFont="1" applyAlignment="1">
      <alignment horizontal="center"/>
    </xf>
    <xf numFmtId="43" fontId="5" fillId="0" borderId="13" xfId="42" applyFont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vertical="top" wrapText="1"/>
    </xf>
    <xf numFmtId="166" fontId="5" fillId="0" borderId="0" xfId="42" applyNumberFormat="1" applyFont="1" applyFill="1" applyAlignment="1">
      <alignment horizontal="right" vertical="top" wrapText="1"/>
    </xf>
    <xf numFmtId="166" fontId="5" fillId="0" borderId="11" xfId="42" applyNumberFormat="1" applyFont="1" applyFill="1" applyBorder="1" applyAlignment="1">
      <alignment horizontal="right" vertical="top" wrapText="1"/>
    </xf>
    <xf numFmtId="166" fontId="4" fillId="0" borderId="0" xfId="42" applyNumberFormat="1" applyFont="1" applyFill="1" applyAlignment="1">
      <alignment horizontal="right" vertical="top" wrapText="1"/>
    </xf>
    <xf numFmtId="166" fontId="5" fillId="0" borderId="10" xfId="42" applyNumberFormat="1" applyFont="1" applyFill="1" applyBorder="1" applyAlignment="1">
      <alignment horizontal="right" vertical="top" wrapText="1"/>
    </xf>
    <xf numFmtId="166" fontId="4" fillId="0" borderId="10" xfId="42" applyNumberFormat="1" applyFont="1" applyFill="1" applyBorder="1" applyAlignment="1">
      <alignment horizontal="right" vertical="top" wrapText="1"/>
    </xf>
    <xf numFmtId="166" fontId="5" fillId="0" borderId="0" xfId="42" applyNumberFormat="1" applyFont="1" applyFill="1" applyAlignment="1">
      <alignment/>
    </xf>
    <xf numFmtId="166" fontId="5" fillId="0" borderId="0" xfId="42" applyNumberFormat="1" applyFont="1" applyFill="1" applyBorder="1" applyAlignment="1">
      <alignment horizontal="right" vertical="top" wrapText="1"/>
    </xf>
    <xf numFmtId="166" fontId="4" fillId="0" borderId="10" xfId="42" applyNumberFormat="1" applyFont="1" applyFill="1" applyBorder="1" applyAlignment="1">
      <alignment vertical="top" wrapText="1"/>
    </xf>
    <xf numFmtId="166" fontId="4" fillId="0" borderId="12" xfId="42" applyNumberFormat="1" applyFont="1" applyFill="1" applyBorder="1" applyAlignment="1">
      <alignment horizontal="right" vertical="top" wrapText="1"/>
    </xf>
    <xf numFmtId="166" fontId="5" fillId="0" borderId="10" xfId="42" applyNumberFormat="1" applyFont="1" applyFill="1" applyBorder="1" applyAlignment="1">
      <alignment/>
    </xf>
    <xf numFmtId="166" fontId="4" fillId="0" borderId="14" xfId="0" applyNumberFormat="1" applyFont="1" applyFill="1" applyBorder="1" applyAlignment="1">
      <alignment/>
    </xf>
    <xf numFmtId="166" fontId="5" fillId="0" borderId="0" xfId="0" applyNumberFormat="1" applyFont="1" applyFill="1" applyAlignment="1">
      <alignment/>
    </xf>
    <xf numFmtId="166" fontId="81" fillId="0" borderId="0" xfId="0" applyNumberFormat="1" applyFont="1" applyFill="1" applyAlignment="1">
      <alignment/>
    </xf>
    <xf numFmtId="37" fontId="5" fillId="0" borderId="0" xfId="0" applyNumberFormat="1" applyFont="1" applyAlignment="1">
      <alignment horizontal="right" vertical="top" wrapText="1"/>
    </xf>
    <xf numFmtId="37" fontId="4" fillId="0" borderId="0" xfId="0" applyNumberFormat="1" applyFont="1" applyAlignment="1">
      <alignment horizontal="left" vertical="top" wrapText="1"/>
    </xf>
    <xf numFmtId="37" fontId="5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justify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 vertical="top"/>
    </xf>
    <xf numFmtId="37" fontId="5" fillId="0" borderId="0" xfId="0" applyNumberFormat="1" applyFont="1" applyFill="1" applyAlignment="1">
      <alignment horizontal="right"/>
    </xf>
    <xf numFmtId="199" fontId="5" fillId="0" borderId="0" xfId="42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166" fontId="14" fillId="0" borderId="10" xfId="42" applyNumberFormat="1" applyFont="1" applyBorder="1" applyAlignment="1">
      <alignment horizontal="right"/>
    </xf>
    <xf numFmtId="37" fontId="5" fillId="0" borderId="14" xfId="0" applyNumberFormat="1" applyFont="1" applyFill="1" applyBorder="1" applyAlignment="1">
      <alignment horizontal="right"/>
    </xf>
    <xf numFmtId="37" fontId="5" fillId="0" borderId="0" xfId="0" applyNumberFormat="1" applyFont="1" applyFill="1" applyBorder="1" applyAlignment="1">
      <alignment horizontal="center"/>
    </xf>
    <xf numFmtId="37" fontId="14" fillId="0" borderId="10" xfId="0" applyNumberFormat="1" applyFont="1" applyFill="1" applyBorder="1" applyAlignment="1">
      <alignment horizontal="right"/>
    </xf>
    <xf numFmtId="37" fontId="14" fillId="0" borderId="0" xfId="0" applyNumberFormat="1" applyFont="1" applyFill="1" applyAlignment="1">
      <alignment horizontal="right"/>
    </xf>
    <xf numFmtId="37" fontId="14" fillId="0" borderId="0" xfId="0" applyNumberFormat="1" applyFont="1" applyFill="1" applyBorder="1" applyAlignment="1">
      <alignment horizontal="right"/>
    </xf>
    <xf numFmtId="37" fontId="14" fillId="0" borderId="17" xfId="0" applyNumberFormat="1" applyFont="1" applyFill="1" applyBorder="1" applyAlignment="1">
      <alignment horizontal="right"/>
    </xf>
    <xf numFmtId="166" fontId="5" fillId="0" borderId="0" xfId="42" applyNumberFormat="1" applyFont="1" applyFill="1" applyAlignment="1">
      <alignment horizontal="center" vertical="center"/>
    </xf>
    <xf numFmtId="166" fontId="4" fillId="0" borderId="14" xfId="42" applyNumberFormat="1" applyFont="1" applyFill="1" applyBorder="1" applyAlignment="1">
      <alignment horizontal="center" vertical="center"/>
    </xf>
    <xf numFmtId="37" fontId="5" fillId="0" borderId="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35" borderId="18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4" fillId="0" borderId="0" xfId="0" applyFont="1" applyAlignment="1">
      <alignment wrapText="1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justify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1" fillId="35" borderId="18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justify" vertical="top" wrapText="1"/>
    </xf>
    <xf numFmtId="0" fontId="5" fillId="0" borderId="0" xfId="0" applyFont="1" applyBorder="1" applyAlignment="1">
      <alignment/>
    </xf>
    <xf numFmtId="166" fontId="4" fillId="0" borderId="0" xfId="42" applyNumberFormat="1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nnouncements.bursamalaysia.com/Users\user\AppData\Local\Microsoft\Windows\Temporary%20Internet%20Files\Content.Outlook\U7GWVCF3\link%20Handal%20Group%20cashflow%20to%20BS%20&amp;%20PL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HRB\rina\CONSOL\2011\HRB%20Sept%2011\HRB%20Consol%20%200911-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nnouncements.bursamalaysia.com/edms/edmswebh.nsf/8b25383a269fcce548256d79001af770/482576120041bdaa482577890036b73b/$FILE/Handal%20Group%20perf9.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nnouncements.bursamalaysia.com/edms/edmswebh.nsf/8b25383a269fcce548256d79001af770/482576120041bdaa482577890036b73b/$FILE/HRB%20Mar10-latest\HRB%20Consol%20%2003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nnouncements.bursamalaysia.com/Documents%20and%20Settings\Shazarina\Desktop\Consol%20Cashflow\HRBcashflow.Mar10\HRB%20Gp.BS,PL,Cashflow%20Q12010-rin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RB%20Gp.BS,PL,Cashflow%20Q120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HRB\rina\CONSOL\2011\HRB%20June%2011\HRB%20Consol%20%2006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HRB\rina\CONSOL\2011\HRB%20June%2011\HRB%20perf06.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HRB\rina\CONSOL\2011\HRB%20Sept%2011\HRB%20perf09.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RB%20Gp.BS,PL,Cashflow%20Q3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BS"/>
      <sheetName val="NBV"/>
      <sheetName val="acq of sub."/>
      <sheetName val="Income st"/>
      <sheetName val="cf.reference"/>
      <sheetName val="cashflow."/>
      <sheetName val="DSCR"/>
    </sheetNames>
    <sheetDataSet>
      <sheetData sheetId="6">
        <row r="8">
          <cell r="D8">
            <v>3491.3136340504434</v>
          </cell>
        </row>
        <row r="12">
          <cell r="D12">
            <v>363.5</v>
          </cell>
        </row>
        <row r="13">
          <cell r="D13">
            <v>265</v>
          </cell>
        </row>
        <row r="14">
          <cell r="D14">
            <v>7.4</v>
          </cell>
        </row>
        <row r="15">
          <cell r="D15">
            <v>0</v>
          </cell>
        </row>
        <row r="16">
          <cell r="D16">
            <v>-97</v>
          </cell>
        </row>
        <row r="17">
          <cell r="D17">
            <v>-1123.228034050444</v>
          </cell>
        </row>
        <row r="22">
          <cell r="D22">
            <v>0</v>
          </cell>
        </row>
        <row r="23">
          <cell r="D23">
            <v>-867.4733900000028</v>
          </cell>
        </row>
        <row r="24">
          <cell r="D24">
            <v>78.74748</v>
          </cell>
        </row>
        <row r="25">
          <cell r="D25">
            <v>669.1108099999999</v>
          </cell>
        </row>
        <row r="26">
          <cell r="D26">
            <v>1842.1404200000015</v>
          </cell>
        </row>
        <row r="27">
          <cell r="D27">
            <v>-2514.1371799999997</v>
          </cell>
        </row>
        <row r="31">
          <cell r="D31">
            <v>-363.5</v>
          </cell>
        </row>
        <row r="32">
          <cell r="D32">
            <v>-552.8730440504394</v>
          </cell>
        </row>
        <row r="37">
          <cell r="D37">
            <v>15849.791570000001</v>
          </cell>
        </row>
        <row r="38">
          <cell r="D38">
            <v>97</v>
          </cell>
        </row>
        <row r="39">
          <cell r="D39">
            <v>0</v>
          </cell>
        </row>
        <row r="40">
          <cell r="D40">
            <v>-1047.900669999999</v>
          </cell>
        </row>
        <row r="46">
          <cell r="D46">
            <v>-978</v>
          </cell>
        </row>
        <row r="47">
          <cell r="D47">
            <v>-2</v>
          </cell>
        </row>
        <row r="48">
          <cell r="D48">
            <v>-4.5</v>
          </cell>
        </row>
        <row r="49">
          <cell r="D49">
            <v>-13.609679999999997</v>
          </cell>
        </row>
        <row r="50">
          <cell r="D50">
            <v>-36</v>
          </cell>
        </row>
        <row r="52">
          <cell r="D52">
            <v>-637.5</v>
          </cell>
        </row>
        <row r="58">
          <cell r="D58">
            <v>0.002</v>
          </cell>
        </row>
        <row r="65">
          <cell r="D65">
            <v>24215.425580000003</v>
          </cell>
        </row>
        <row r="66">
          <cell r="D66">
            <v>3321.387730000001</v>
          </cell>
        </row>
        <row r="67">
          <cell r="D67">
            <v>-5084</v>
          </cell>
        </row>
        <row r="69">
          <cell r="D69">
            <v>-8027.46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heet2"/>
      <sheetName val="1conso-YTD"/>
      <sheetName val="hesb.consol"/>
      <sheetName val="JV"/>
      <sheetName val="2CF-YTD"/>
      <sheetName val="3PPE SCH"/>
      <sheetName val="4PPE movement"/>
      <sheetName val="5INTEST"/>
      <sheetName val="6BRRW"/>
      <sheetName val="7TAX"/>
      <sheetName val="Bank Bal"/>
      <sheetName val="8work.GW.MI.RE"/>
      <sheetName val="sample work.GW"/>
      <sheetName val="9Dis or acq of subsi"/>
      <sheetName val="Amt due to contractors"/>
      <sheetName val="10Stmt of gain on disposal su"/>
      <sheetName val="Sheet1"/>
    </sheetNames>
    <sheetDataSet>
      <sheetData sheetId="2">
        <row r="12">
          <cell r="Q12">
            <v>61601.03842</v>
          </cell>
        </row>
        <row r="13">
          <cell r="Q13">
            <v>-35320.63202</v>
          </cell>
        </row>
        <row r="16">
          <cell r="Q16">
            <v>881.64099</v>
          </cell>
        </row>
        <row r="18">
          <cell r="Q18">
            <v>-12078.73472</v>
          </cell>
        </row>
        <row r="19">
          <cell r="Q19">
            <v>-2581.2111999999997</v>
          </cell>
        </row>
        <row r="20">
          <cell r="Q20">
            <v>-2973.7166699999993</v>
          </cell>
        </row>
        <row r="25">
          <cell r="Q25">
            <v>-1474.4633499999998</v>
          </cell>
        </row>
        <row r="27">
          <cell r="Q27">
            <v>-1973.23923</v>
          </cell>
        </row>
        <row r="29">
          <cell r="Q29">
            <v>46.810050000000004</v>
          </cell>
        </row>
        <row r="67">
          <cell r="Q67">
            <v>41551.879700000005</v>
          </cell>
        </row>
        <row r="68">
          <cell r="Q68">
            <v>2435</v>
          </cell>
        </row>
        <row r="74">
          <cell r="Q74">
            <v>373.96898999999996</v>
          </cell>
        </row>
        <row r="78">
          <cell r="Q78">
            <v>6428.274800000001</v>
          </cell>
        </row>
        <row r="79">
          <cell r="Q79">
            <v>5658</v>
          </cell>
        </row>
        <row r="80">
          <cell r="Q80">
            <v>20645.620700000007</v>
          </cell>
        </row>
        <row r="81">
          <cell r="Q81">
            <v>21114.1216</v>
          </cell>
        </row>
        <row r="83">
          <cell r="Q83">
            <v>8178.48517</v>
          </cell>
        </row>
        <row r="84">
          <cell r="Q84">
            <v>96</v>
          </cell>
        </row>
        <row r="85">
          <cell r="Q85">
            <v>30436.26126</v>
          </cell>
        </row>
        <row r="86">
          <cell r="Q86">
            <v>11366.237130000001</v>
          </cell>
        </row>
        <row r="99">
          <cell r="Q99">
            <v>80000</v>
          </cell>
        </row>
        <row r="101">
          <cell r="Q101">
            <v>269.93694</v>
          </cell>
        </row>
        <row r="102">
          <cell r="Q102">
            <v>21714.670740000005</v>
          </cell>
        </row>
        <row r="105">
          <cell r="Q105">
            <v>-13.525050000000004</v>
          </cell>
        </row>
        <row r="110">
          <cell r="Q110">
            <v>128</v>
          </cell>
        </row>
        <row r="111">
          <cell r="Q111">
            <v>19716.38947</v>
          </cell>
        </row>
        <row r="112">
          <cell r="Q112">
            <v>1978.5</v>
          </cell>
        </row>
        <row r="115">
          <cell r="Q115">
            <v>0</v>
          </cell>
        </row>
        <row r="116">
          <cell r="Q116">
            <v>12337.56617</v>
          </cell>
        </row>
        <row r="117">
          <cell r="Q117">
            <v>1125.06149</v>
          </cell>
        </row>
        <row r="118">
          <cell r="Q118">
            <v>144.35646999999994</v>
          </cell>
        </row>
        <row r="119">
          <cell r="Q119">
            <v>10881.880879999997</v>
          </cell>
        </row>
        <row r="120">
          <cell r="Q120">
            <v>-0.4170000000000016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jor customers"/>
      <sheetName val="major suppliers"/>
      <sheetName val="CPL"/>
      <sheetName val="P &amp; L.HOSSB"/>
      <sheetName val="CBS"/>
      <sheetName val="Bal Sheet.HOSSB"/>
      <sheetName val="cashflow.Gp"/>
      <sheetName val="cashflow state HOSSB"/>
      <sheetName val="Segment P &amp; L"/>
      <sheetName val="segm rep.6mth"/>
      <sheetName val="segm rep."/>
      <sheetName val="utilise ipo"/>
      <sheetName val="related party.qTR"/>
      <sheetName val="RPT"/>
      <sheetName val="Sheet1"/>
      <sheetName val="taxation"/>
      <sheetName val="financial result"/>
      <sheetName val="pre &amp; post acq profit"/>
      <sheetName val="borrow.debt security"/>
      <sheetName val="EPS"/>
      <sheetName val="segm p &amp;l .jun09Adj"/>
      <sheetName val="segm p &amp;l .2 mths"/>
      <sheetName val="weighted avr share"/>
      <sheetName val="EPS."/>
      <sheetName val="seg p&amp;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1conso-YTD"/>
      <sheetName val="hesb.consol"/>
      <sheetName val="JV"/>
      <sheetName val="2CF-YTD"/>
      <sheetName val="3PPE SCH"/>
      <sheetName val="4PPE movement"/>
      <sheetName val="5INTEST"/>
      <sheetName val="6BRRW"/>
      <sheetName val="7TAX"/>
      <sheetName val="8work.GW.MI.RE"/>
      <sheetName val="sample work.GW"/>
      <sheetName val="9Dis or acq of subsi"/>
      <sheetName val="Amt due to contractors"/>
      <sheetName val="10Stmt of gain on disposal su"/>
    </sheetNames>
    <sheetDataSet>
      <sheetData sheetId="1">
        <row r="65">
          <cell r="N65">
            <v>27678.76659</v>
          </cell>
        </row>
        <row r="71">
          <cell r="N71">
            <v>373.97199</v>
          </cell>
        </row>
        <row r="75">
          <cell r="N75">
            <v>5239.74082</v>
          </cell>
        </row>
        <row r="76">
          <cell r="N76">
            <v>199</v>
          </cell>
        </row>
        <row r="77">
          <cell r="N77">
            <v>17984.309699999994</v>
          </cell>
        </row>
        <row r="78">
          <cell r="N78">
            <v>18688.837959999997</v>
          </cell>
        </row>
        <row r="80">
          <cell r="N80">
            <v>597.3788499999999</v>
          </cell>
        </row>
        <row r="81">
          <cell r="N81">
            <v>35</v>
          </cell>
        </row>
        <row r="82">
          <cell r="N82">
            <v>29349.86621</v>
          </cell>
        </row>
        <row r="83">
          <cell r="N83">
            <v>3943.64952</v>
          </cell>
        </row>
        <row r="95">
          <cell r="N95">
            <v>45000</v>
          </cell>
        </row>
        <row r="97">
          <cell r="N97">
            <v>1549.57636</v>
          </cell>
        </row>
        <row r="98">
          <cell r="N98">
            <v>12097.421649</v>
          </cell>
        </row>
        <row r="101">
          <cell r="N101">
            <v>-2.369579</v>
          </cell>
        </row>
        <row r="106">
          <cell r="N106">
            <v>128</v>
          </cell>
        </row>
        <row r="107">
          <cell r="N107">
            <v>21845.727010000002</v>
          </cell>
        </row>
        <row r="108">
          <cell r="N108">
            <v>1143.5</v>
          </cell>
        </row>
        <row r="111">
          <cell r="N111">
            <v>8518.03714</v>
          </cell>
        </row>
        <row r="112">
          <cell r="N112">
            <v>2186.2584</v>
          </cell>
        </row>
        <row r="113">
          <cell r="N113">
            <v>311.98563</v>
          </cell>
        </row>
        <row r="114">
          <cell r="N114">
            <v>12328.228550000002</v>
          </cell>
        </row>
        <row r="115">
          <cell r="N115">
            <v>1489.59725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PL"/>
      <sheetName val="CBS12.09"/>
      <sheetName val="CBS3.10"/>
      <sheetName val="BS.VAR"/>
      <sheetName val="Sheet1"/>
      <sheetName val="cashflow."/>
    </sheetNames>
    <sheetDataSet>
      <sheetData sheetId="5">
        <row r="8">
          <cell r="U8">
            <v>2912</v>
          </cell>
        </row>
        <row r="21">
          <cell r="U21">
            <v>3906</v>
          </cell>
        </row>
        <row r="23">
          <cell r="U23">
            <v>312.60903000000053</v>
          </cell>
        </row>
        <row r="24">
          <cell r="U24">
            <v>-1741.777379999996</v>
          </cell>
        </row>
        <row r="25">
          <cell r="U25">
            <v>-1991.7909599999984</v>
          </cell>
        </row>
        <row r="26">
          <cell r="U26">
            <v>770.346</v>
          </cell>
        </row>
        <row r="27">
          <cell r="U27">
            <v>8.91215000000011</v>
          </cell>
        </row>
        <row r="28">
          <cell r="U28">
            <v>-230.72018999999818</v>
          </cell>
        </row>
        <row r="29">
          <cell r="U29">
            <v>-780.1700500000002</v>
          </cell>
        </row>
        <row r="32">
          <cell r="U32">
            <v>254.40860000000794</v>
          </cell>
        </row>
        <row r="34">
          <cell r="R34">
            <v>-43</v>
          </cell>
        </row>
        <row r="35">
          <cell r="R35">
            <v>-832</v>
          </cell>
        </row>
        <row r="37">
          <cell r="U37">
            <v>-620.5913999999921</v>
          </cell>
        </row>
        <row r="41">
          <cell r="U41">
            <v>93</v>
          </cell>
        </row>
        <row r="42">
          <cell r="U42">
            <v>53</v>
          </cell>
        </row>
        <row r="45">
          <cell r="U45">
            <v>-1142</v>
          </cell>
        </row>
        <row r="48">
          <cell r="U48">
            <v>-996</v>
          </cell>
        </row>
        <row r="51">
          <cell r="U51">
            <v>-1007.242</v>
          </cell>
        </row>
        <row r="52">
          <cell r="U52">
            <v>-6</v>
          </cell>
        </row>
        <row r="53">
          <cell r="U53">
            <v>-15</v>
          </cell>
        </row>
        <row r="54">
          <cell r="U54">
            <v>-440</v>
          </cell>
        </row>
        <row r="55">
          <cell r="U55">
            <v>-161.806</v>
          </cell>
        </row>
        <row r="63">
          <cell r="U63">
            <v>-1267.048</v>
          </cell>
        </row>
        <row r="65">
          <cell r="U65">
            <v>-2883.639399999992</v>
          </cell>
        </row>
        <row r="67">
          <cell r="U67">
            <v>18800</v>
          </cell>
        </row>
        <row r="69">
          <cell r="U69">
            <v>15916.360600000007</v>
          </cell>
        </row>
        <row r="75">
          <cell r="N75">
            <v>29350</v>
          </cell>
        </row>
        <row r="76">
          <cell r="N76">
            <v>3944</v>
          </cell>
        </row>
        <row r="77">
          <cell r="N77">
            <v>-8541</v>
          </cell>
        </row>
        <row r="78">
          <cell r="N78">
            <v>24753</v>
          </cell>
        </row>
        <row r="79">
          <cell r="N79">
            <v>-8843</v>
          </cell>
        </row>
        <row r="80">
          <cell r="N80">
            <v>15910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PL"/>
      <sheetName val="CBS03.11"/>
      <sheetName val="CBS12.10(RM)"/>
      <sheetName val="CBS12.10"/>
      <sheetName val="BS VAR CO"/>
      <sheetName val="BS.VAR"/>
      <sheetName val="Sheet1"/>
      <sheetName val="PPE"/>
      <sheetName val="cashflow."/>
      <sheetName val="Sheet2"/>
      <sheetName val="HRB"/>
      <sheetName val="HOSSB"/>
      <sheetName val="HESB"/>
      <sheetName val="HCSB"/>
      <sheetName val="Handrill"/>
      <sheetName val="consol"/>
      <sheetName val="Sheet7"/>
    </sheetNames>
    <sheetDataSet>
      <sheetData sheetId="9">
        <row r="76">
          <cell r="U76">
            <v>20570.722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heet2"/>
      <sheetName val="1conso-YTD"/>
      <sheetName val="hesb.consol"/>
      <sheetName val="JV"/>
      <sheetName val="2CF-YTD"/>
      <sheetName val="3PPE SCH"/>
      <sheetName val="4PPE movement"/>
      <sheetName val="5INTEST"/>
      <sheetName val="6BRRW"/>
      <sheetName val="7TAX"/>
      <sheetName val="Bank Bal"/>
      <sheetName val="8work.GW.MI.RE"/>
      <sheetName val="sample work.GW"/>
      <sheetName val="9Dis or acq of subsi"/>
      <sheetName val="Amt due to contractors"/>
      <sheetName val="10Stmt of gain on disposal su"/>
      <sheetName val="Sheet1"/>
    </sheetNames>
    <sheetDataSet>
      <sheetData sheetId="2">
        <row r="12">
          <cell r="Q12">
            <v>38383.76977</v>
          </cell>
        </row>
        <row r="13">
          <cell r="Q13">
            <v>-20998.088499999998</v>
          </cell>
        </row>
        <row r="16">
          <cell r="Q16">
            <v>730.63436</v>
          </cell>
        </row>
        <row r="18">
          <cell r="Q18">
            <v>-7902.90898</v>
          </cell>
        </row>
        <row r="19">
          <cell r="Q19">
            <v>-1882.70001</v>
          </cell>
        </row>
        <row r="20">
          <cell r="Q20">
            <v>-2040.6771500000002</v>
          </cell>
        </row>
        <row r="25">
          <cell r="Q25">
            <v>-969.79204</v>
          </cell>
        </row>
        <row r="27">
          <cell r="Q27">
            <v>-1278.4492299999997</v>
          </cell>
        </row>
        <row r="29">
          <cell r="Q29">
            <v>6.715400000000001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jor customers"/>
      <sheetName val="major suppliers"/>
      <sheetName val="CPL"/>
      <sheetName val="CPL.09"/>
      <sheetName val="P &amp; L.HOSSB"/>
      <sheetName val="Bal Sheet.HOSSB"/>
      <sheetName val="cashflow.Gp"/>
      <sheetName val="cashflow state HOSSB"/>
      <sheetName val="BS.hossb.0611"/>
      <sheetName val="IPO.June11."/>
      <sheetName val="IPO 150811"/>
      <sheetName val="IPO det 150811"/>
      <sheetName val="IPO .det.0611"/>
      <sheetName val="RI"/>
      <sheetName val="Sheet5"/>
      <sheetName val="Segment P &amp; L"/>
      <sheetName val="Sheet2"/>
      <sheetName val="segm rep."/>
      <sheetName val="related party.qTR"/>
      <sheetName val="mandate rpt"/>
      <sheetName val="taxation"/>
      <sheetName val="Gp financial result"/>
      <sheetName val="pre &amp; post acq profit"/>
      <sheetName val="borrow.debt security"/>
      <sheetName val="Gross int income"/>
      <sheetName val="P &amp; l.June11"/>
      <sheetName val="EPS"/>
      <sheetName val="segm p &amp;l .jun09Adj"/>
      <sheetName val="segm p &amp;l .2 mths"/>
      <sheetName val="weighted avr share"/>
      <sheetName val="EPS."/>
      <sheetName val="seg p &amp;l.11"/>
      <sheetName val="seg p&amp;l.10"/>
      <sheetName val="Sheet1"/>
      <sheetName val="P &amp; L.JAN09"/>
      <sheetName val="Sheet3"/>
    </sheetNames>
    <sheetDataSet>
      <sheetData sheetId="29">
        <row r="68">
          <cell r="O68">
            <v>154615384.6153846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ajor customers"/>
      <sheetName val="major suppliers"/>
      <sheetName val="CPL"/>
      <sheetName val="CPL.09"/>
      <sheetName val="P &amp; L.HOSSB"/>
      <sheetName val="Bal Sheet.HOSSB"/>
      <sheetName val="cashflow.Gp"/>
      <sheetName val="cashflow state HOSSB"/>
      <sheetName val="BS.hossb.0911"/>
      <sheetName val="IPO.Sept11."/>
      <sheetName val="IPO .det.0911"/>
      <sheetName val="RI"/>
      <sheetName val="Sheet5"/>
      <sheetName val="Segment P &amp; L"/>
      <sheetName val="Sheet2"/>
      <sheetName val="segm rep."/>
      <sheetName val="related party.qTR"/>
      <sheetName val="mandate rpt"/>
      <sheetName val="taxation"/>
      <sheetName val="Gp financial result"/>
      <sheetName val="pre &amp; post acq profit"/>
      <sheetName val="borrow.debt security"/>
      <sheetName val="Gross int income"/>
      <sheetName val="P &amp; l.Sept11"/>
      <sheetName val="EPS"/>
      <sheetName val="segm p &amp;l .jun09Adj"/>
      <sheetName val="segm p &amp;l .2 mths"/>
      <sheetName val="weighted avr share"/>
      <sheetName val="EPS."/>
      <sheetName val="seg p &amp;l.11"/>
      <sheetName val="seg p&amp;l.10"/>
      <sheetName val="Sheet1"/>
      <sheetName val="P &amp; L.JAN09"/>
      <sheetName val="Sheet4"/>
      <sheetName val="Sheet3"/>
    </sheetNames>
    <sheetDataSet>
      <sheetData sheetId="27">
        <row r="46">
          <cell r="O46">
            <v>135128205.12820512</v>
          </cell>
        </row>
        <row r="68">
          <cell r="O68">
            <v>157322404.37158468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PL"/>
      <sheetName val="CBS09.11"/>
      <sheetName val="CBS12.10(RM)"/>
      <sheetName val="CBS12.10"/>
      <sheetName val="BS VAR CO"/>
      <sheetName val="BS.VAR"/>
      <sheetName val="Sheet1"/>
      <sheetName val="PPE"/>
      <sheetName val="cashflow."/>
      <sheetName val="Sheet2"/>
      <sheetName val="HRB"/>
      <sheetName val="HOSSB"/>
      <sheetName val="HESB"/>
      <sheetName val="HCSB"/>
      <sheetName val="Handrill"/>
      <sheetName val="consol"/>
      <sheetName val="Sheet7"/>
    </sheetNames>
    <sheetDataSet>
      <sheetData sheetId="9">
        <row r="8">
          <cell r="U8">
            <v>8054</v>
          </cell>
        </row>
        <row r="20">
          <cell r="V20">
            <v>3863.66434</v>
          </cell>
        </row>
        <row r="24">
          <cell r="U24">
            <v>-1233.644800000001</v>
          </cell>
        </row>
        <row r="25">
          <cell r="U25">
            <v>-6534.001700000006</v>
          </cell>
        </row>
        <row r="26">
          <cell r="U26">
            <v>7840.2444</v>
          </cell>
        </row>
        <row r="27">
          <cell r="U27">
            <v>-3445.774</v>
          </cell>
        </row>
        <row r="28">
          <cell r="U28">
            <v>-4281.96617</v>
          </cell>
        </row>
        <row r="32">
          <cell r="U32">
            <v>1744.1941700000011</v>
          </cell>
        </row>
        <row r="33">
          <cell r="U33">
            <v>-3256.989</v>
          </cell>
        </row>
        <row r="34">
          <cell r="U34">
            <v>-1897.7285100000001</v>
          </cell>
        </row>
        <row r="41">
          <cell r="U41">
            <v>-218.90724</v>
          </cell>
        </row>
        <row r="42">
          <cell r="U42">
            <v>-1277.8034699999998</v>
          </cell>
        </row>
        <row r="43">
          <cell r="U43">
            <v>-2400</v>
          </cell>
        </row>
        <row r="49">
          <cell r="U49">
            <v>206.44001</v>
          </cell>
        </row>
        <row r="50">
          <cell r="U50">
            <v>426</v>
          </cell>
        </row>
        <row r="53">
          <cell r="U53">
            <v>-500.44016000000016</v>
          </cell>
        </row>
        <row r="54">
          <cell r="U54">
            <v>-15257.11768</v>
          </cell>
        </row>
        <row r="60">
          <cell r="U60">
            <v>2714</v>
          </cell>
        </row>
        <row r="61">
          <cell r="U61">
            <v>-12.80975</v>
          </cell>
        </row>
        <row r="62">
          <cell r="U62">
            <v>-913.2986</v>
          </cell>
        </row>
        <row r="63">
          <cell r="U63">
            <v>-73.43253000000003</v>
          </cell>
        </row>
        <row r="64">
          <cell r="U64">
            <v>-3947.9075300000013</v>
          </cell>
        </row>
        <row r="65">
          <cell r="U65">
            <v>31200</v>
          </cell>
        </row>
        <row r="67">
          <cell r="U67">
            <v>-4800</v>
          </cell>
        </row>
        <row r="70">
          <cell r="U70">
            <v>0</v>
          </cell>
        </row>
        <row r="83">
          <cell r="U83">
            <v>18129</v>
          </cell>
        </row>
        <row r="84">
          <cell r="U84">
            <v>12307.335</v>
          </cell>
        </row>
        <row r="85">
          <cell r="U85">
            <v>11366</v>
          </cell>
        </row>
        <row r="86">
          <cell r="U86">
            <v>-2927.8808799999997</v>
          </cell>
        </row>
        <row r="88">
          <cell r="U88">
            <v>-12307.335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4"/>
  <sheetViews>
    <sheetView zoomScalePageLayoutView="0" workbookViewId="0" topLeftCell="A1">
      <pane xSplit="2" ySplit="13" topLeftCell="G38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W44" sqref="W44"/>
    </sheetView>
  </sheetViews>
  <sheetFormatPr defaultColWidth="9.140625" defaultRowHeight="12.75"/>
  <cols>
    <col min="1" max="1" width="8.8515625" style="0" customWidth="1"/>
    <col min="2" max="2" width="42.00390625" style="0" customWidth="1"/>
    <col min="3" max="3" width="3.140625" style="0" hidden="1" customWidth="1"/>
    <col min="4" max="5" width="20.7109375" style="0" hidden="1" customWidth="1"/>
    <col min="6" max="6" width="3.7109375" style="0" hidden="1" customWidth="1"/>
    <col min="7" max="7" width="19.8515625" style="0" customWidth="1"/>
    <col min="8" max="8" width="20.140625" style="0" customWidth="1"/>
    <col min="9" max="9" width="3.7109375" style="0" customWidth="1"/>
    <col min="10" max="11" width="22.140625" style="0" customWidth="1"/>
    <col min="12" max="12" width="4.140625" style="0" customWidth="1"/>
    <col min="13" max="13" width="16.57421875" style="0" customWidth="1"/>
    <col min="14" max="14" width="5.8515625" style="0" hidden="1" customWidth="1"/>
    <col min="15" max="15" width="5.7109375" style="0" hidden="1" customWidth="1"/>
    <col min="16" max="16" width="17.28125" style="0" hidden="1" customWidth="1"/>
    <col min="17" max="22" width="9.140625" style="0" hidden="1" customWidth="1"/>
  </cols>
  <sheetData>
    <row r="1" ht="20.25">
      <c r="B1" s="6" t="s">
        <v>123</v>
      </c>
    </row>
    <row r="2" ht="12.75">
      <c r="B2" s="2"/>
    </row>
    <row r="3" s="51" customFormat="1" ht="15">
      <c r="B3" s="16" t="s">
        <v>218</v>
      </c>
    </row>
    <row r="4" spans="2:12" s="51" customFormat="1" ht="15">
      <c r="B4" s="16" t="s">
        <v>259</v>
      </c>
      <c r="L4" s="85"/>
    </row>
    <row r="5" spans="2:12" s="51" customFormat="1" ht="15">
      <c r="B5" s="86"/>
      <c r="L5" s="85"/>
    </row>
    <row r="6" spans="2:12" s="51" customFormat="1" ht="21" thickBot="1">
      <c r="B6" s="16"/>
      <c r="C6" s="178"/>
      <c r="D6" s="178"/>
      <c r="E6" s="178"/>
      <c r="J6" s="122"/>
      <c r="K6" s="178"/>
      <c r="L6" s="85"/>
    </row>
    <row r="7" spans="3:12" s="51" customFormat="1" ht="15.75" thickBot="1">
      <c r="C7" s="171"/>
      <c r="D7" s="233" t="s">
        <v>85</v>
      </c>
      <c r="E7" s="234"/>
      <c r="G7" s="233" t="s">
        <v>85</v>
      </c>
      <c r="H7" s="234"/>
      <c r="J7" s="233" t="s">
        <v>125</v>
      </c>
      <c r="K7" s="234"/>
      <c r="L7" s="60"/>
    </row>
    <row r="8" spans="3:12" s="51" customFormat="1" ht="12.75" customHeight="1">
      <c r="C8" s="56"/>
      <c r="D8" s="230" t="s">
        <v>139</v>
      </c>
      <c r="E8" s="230" t="s">
        <v>233</v>
      </c>
      <c r="F8" s="55"/>
      <c r="G8" s="230" t="s">
        <v>139</v>
      </c>
      <c r="H8" s="230" t="s">
        <v>233</v>
      </c>
      <c r="I8" s="55"/>
      <c r="J8" s="230" t="s">
        <v>237</v>
      </c>
      <c r="K8" s="230" t="s">
        <v>232</v>
      </c>
      <c r="L8" s="60"/>
    </row>
    <row r="9" spans="4:12" s="51" customFormat="1" ht="15">
      <c r="D9" s="231"/>
      <c r="E9" s="232"/>
      <c r="F9" s="55"/>
      <c r="G9" s="231"/>
      <c r="H9" s="232"/>
      <c r="I9" s="55"/>
      <c r="J9" s="231"/>
      <c r="K9" s="232"/>
      <c r="L9" s="60"/>
    </row>
    <row r="10" spans="4:12" s="51" customFormat="1" ht="15">
      <c r="D10" s="231"/>
      <c r="E10" s="232"/>
      <c r="F10" s="55"/>
      <c r="G10" s="231"/>
      <c r="H10" s="232"/>
      <c r="I10" s="55"/>
      <c r="J10" s="231"/>
      <c r="K10" s="232"/>
      <c r="L10" s="60"/>
    </row>
    <row r="11" spans="4:12" s="51" customFormat="1" ht="31.5" customHeight="1">
      <c r="D11" s="231"/>
      <c r="E11" s="232"/>
      <c r="F11" s="55"/>
      <c r="G11" s="231"/>
      <c r="H11" s="232"/>
      <c r="I11" s="55"/>
      <c r="J11" s="231"/>
      <c r="K11" s="232"/>
      <c r="L11" s="60"/>
    </row>
    <row r="12" spans="3:16" s="51" customFormat="1" ht="15">
      <c r="C12" s="57"/>
      <c r="D12" s="57" t="s">
        <v>253</v>
      </c>
      <c r="E12" s="57" t="s">
        <v>254</v>
      </c>
      <c r="F12" s="58"/>
      <c r="G12" s="57" t="s">
        <v>260</v>
      </c>
      <c r="H12" s="57" t="s">
        <v>261</v>
      </c>
      <c r="I12" s="58"/>
      <c r="J12" s="57" t="s">
        <v>260</v>
      </c>
      <c r="K12" s="57" t="s">
        <v>261</v>
      </c>
      <c r="L12" s="60"/>
      <c r="P12" s="128" t="s">
        <v>140</v>
      </c>
    </row>
    <row r="13" spans="3:16" s="51" customFormat="1" ht="15">
      <c r="C13" s="58"/>
      <c r="D13" s="58" t="s">
        <v>0</v>
      </c>
      <c r="E13" s="58" t="s">
        <v>0</v>
      </c>
      <c r="F13" s="58"/>
      <c r="G13" s="58" t="s">
        <v>0</v>
      </c>
      <c r="H13" s="58" t="s">
        <v>0</v>
      </c>
      <c r="I13" s="58"/>
      <c r="J13" s="58" t="s">
        <v>0</v>
      </c>
      <c r="K13" s="58" t="s">
        <v>0</v>
      </c>
      <c r="L13" s="60"/>
      <c r="P13" s="102" t="s">
        <v>0</v>
      </c>
    </row>
    <row r="14" spans="3:16" s="51" customFormat="1" ht="15">
      <c r="C14" s="58"/>
      <c r="D14" s="58"/>
      <c r="E14" s="58"/>
      <c r="F14" s="58"/>
      <c r="G14" s="58"/>
      <c r="H14" s="58"/>
      <c r="I14" s="58"/>
      <c r="K14" s="58"/>
      <c r="P14" s="102"/>
    </row>
    <row r="15" spans="2:16" s="51" customFormat="1" ht="15">
      <c r="B15" s="16" t="s">
        <v>1</v>
      </c>
      <c r="C15" s="129"/>
      <c r="D15" s="129">
        <f>'[6]1conso-YTD'!$Q$12</f>
        <v>38383.76977</v>
      </c>
      <c r="E15" s="129">
        <v>23561</v>
      </c>
      <c r="F15" s="59"/>
      <c r="G15" s="129">
        <f>J15-D15+1</f>
        <v>23218.268649999998</v>
      </c>
      <c r="H15" s="129">
        <v>30059</v>
      </c>
      <c r="I15" s="59"/>
      <c r="J15" s="129">
        <f>'[10]1conso-YTD'!$Q$12</f>
        <v>61601.03842</v>
      </c>
      <c r="K15" s="129">
        <v>70743</v>
      </c>
      <c r="L15" s="60"/>
      <c r="P15" s="102">
        <v>23670.793759999993</v>
      </c>
    </row>
    <row r="16" spans="3:16" s="51" customFormat="1" ht="14.25">
      <c r="C16" s="129"/>
      <c r="D16" s="129"/>
      <c r="E16" s="129"/>
      <c r="F16" s="59"/>
      <c r="G16" s="129"/>
      <c r="H16" s="129"/>
      <c r="I16" s="59"/>
      <c r="J16" s="129"/>
      <c r="K16" s="129"/>
      <c r="L16" s="60"/>
      <c r="P16" s="102"/>
    </row>
    <row r="17" spans="2:16" s="51" customFormat="1" ht="14.25">
      <c r="B17" s="51" t="s">
        <v>31</v>
      </c>
      <c r="C17" s="129"/>
      <c r="D17" s="129">
        <f>'[6]1conso-YTD'!$Q$13</f>
        <v>-20998.088499999998</v>
      </c>
      <c r="E17" s="129">
        <v>-9911</v>
      </c>
      <c r="F17" s="59"/>
      <c r="G17" s="129">
        <f>J17-D17-1</f>
        <v>-14323.54352</v>
      </c>
      <c r="H17" s="129">
        <v>-20027</v>
      </c>
      <c r="I17" s="59"/>
      <c r="J17" s="129">
        <f>'[10]1conso-YTD'!$Q$13</f>
        <v>-35320.63202</v>
      </c>
      <c r="K17" s="129">
        <v>-38234</v>
      </c>
      <c r="L17" s="60"/>
      <c r="P17" s="102">
        <v>-11784.867779999999</v>
      </c>
    </row>
    <row r="18" spans="2:16" s="51" customFormat="1" ht="14.25">
      <c r="B18" s="60"/>
      <c r="C18" s="176"/>
      <c r="D18" s="172"/>
      <c r="E18" s="172"/>
      <c r="F18" s="59"/>
      <c r="G18" s="172"/>
      <c r="H18" s="172"/>
      <c r="I18" s="59"/>
      <c r="J18" s="133"/>
      <c r="K18" s="172"/>
      <c r="L18" s="60"/>
      <c r="P18" s="102"/>
    </row>
    <row r="19" spans="2:18" s="51" customFormat="1" ht="15">
      <c r="B19" s="61" t="s">
        <v>32</v>
      </c>
      <c r="C19" s="129"/>
      <c r="D19" s="129">
        <f>SUM(D15:D18)</f>
        <v>17385.68127</v>
      </c>
      <c r="E19" s="129">
        <f>SUM(E15:E18)</f>
        <v>13650</v>
      </c>
      <c r="F19" s="59"/>
      <c r="G19" s="129">
        <f>SUM(G15:G18)-1</f>
        <v>8893.725129999999</v>
      </c>
      <c r="H19" s="129">
        <f>SUM(H15:H18)</f>
        <v>10032</v>
      </c>
      <c r="I19" s="59"/>
      <c r="J19" s="129">
        <f>+J15+J17</f>
        <v>26280.4064</v>
      </c>
      <c r="K19" s="217">
        <f>SUM(K15:K17)</f>
        <v>32509</v>
      </c>
      <c r="L19" s="60"/>
      <c r="N19" s="137" t="e">
        <f>#REF!/#REF!</f>
        <v>#REF!</v>
      </c>
      <c r="O19" s="137">
        <f>J19/J15</f>
        <v>0.4266227822462737</v>
      </c>
      <c r="P19" s="102">
        <v>11885.925979999995</v>
      </c>
      <c r="R19" s="61" t="s">
        <v>32</v>
      </c>
    </row>
    <row r="20" spans="3:16" s="51" customFormat="1" ht="14.25">
      <c r="C20" s="132"/>
      <c r="D20" s="132"/>
      <c r="E20" s="132"/>
      <c r="F20" s="59"/>
      <c r="G20" s="132"/>
      <c r="H20" s="132"/>
      <c r="I20" s="59"/>
      <c r="J20" s="132"/>
      <c r="K20" s="132"/>
      <c r="L20" s="60"/>
      <c r="P20" s="102"/>
    </row>
    <row r="21" spans="2:18" s="51" customFormat="1" ht="12.75" customHeight="1">
      <c r="B21" s="51" t="s">
        <v>50</v>
      </c>
      <c r="C21" s="129"/>
      <c r="D21" s="129">
        <f>'[6]1conso-YTD'!$Q$16</f>
        <v>730.63436</v>
      </c>
      <c r="E21" s="129">
        <v>517</v>
      </c>
      <c r="F21" s="59"/>
      <c r="G21" s="129">
        <f>J21-D21</f>
        <v>151.00662999999997</v>
      </c>
      <c r="H21" s="129">
        <v>694</v>
      </c>
      <c r="I21" s="59"/>
      <c r="J21" s="129">
        <f>'[10]1conso-YTD'!$Q$16</f>
        <v>881.64099</v>
      </c>
      <c r="K21" s="129">
        <v>1474</v>
      </c>
      <c r="L21" s="87"/>
      <c r="P21" s="102">
        <v>1358.941480000004</v>
      </c>
      <c r="R21" s="51" t="s">
        <v>50</v>
      </c>
    </row>
    <row r="22" spans="3:16" s="51" customFormat="1" ht="12.75" customHeight="1">
      <c r="C22" s="129"/>
      <c r="D22" s="132"/>
      <c r="E22" s="129"/>
      <c r="F22" s="59"/>
      <c r="G22" s="132"/>
      <c r="H22" s="129"/>
      <c r="I22" s="59"/>
      <c r="J22" s="129"/>
      <c r="K22" s="129"/>
      <c r="L22" s="87"/>
      <c r="P22" s="102"/>
    </row>
    <row r="23" spans="2:18" s="51" customFormat="1" ht="12.75" customHeight="1">
      <c r="B23" s="51" t="s">
        <v>137</v>
      </c>
      <c r="C23" s="129"/>
      <c r="D23" s="129">
        <f>'[6]1conso-YTD'!$Q$18+'[6]1conso-YTD'!$Q$19-1</f>
        <v>-9786.60899</v>
      </c>
      <c r="E23" s="129">
        <v>-5965</v>
      </c>
      <c r="F23" s="59"/>
      <c r="G23" s="129">
        <f>J23-D23</f>
        <v>-4873.3369299999995</v>
      </c>
      <c r="H23" s="129">
        <v>-3559</v>
      </c>
      <c r="I23" s="59"/>
      <c r="J23" s="129">
        <f>'[10]1conso-YTD'!$Q$18+'[10]1conso-YTD'!$Q$19</f>
        <v>-14659.94592</v>
      </c>
      <c r="K23" s="129">
        <v>-13650</v>
      </c>
      <c r="L23" s="87"/>
      <c r="P23" s="102">
        <v>-4046.5124700000015</v>
      </c>
      <c r="R23" s="51" t="s">
        <v>137</v>
      </c>
    </row>
    <row r="24" spans="3:16" s="51" customFormat="1" ht="12.75" customHeight="1">
      <c r="C24" s="132"/>
      <c r="D24" s="132"/>
      <c r="E24" s="132"/>
      <c r="F24" s="59"/>
      <c r="G24" s="132"/>
      <c r="H24" s="132"/>
      <c r="I24" s="59"/>
      <c r="J24" s="129"/>
      <c r="K24" s="129"/>
      <c r="L24" s="87"/>
      <c r="P24" s="102"/>
    </row>
    <row r="25" spans="2:18" s="51" customFormat="1" ht="12.75" customHeight="1">
      <c r="B25" s="51" t="s">
        <v>136</v>
      </c>
      <c r="C25" s="129"/>
      <c r="D25" s="129">
        <f>'[6]1conso-YTD'!$Q$20</f>
        <v>-2040.6771500000002</v>
      </c>
      <c r="E25" s="129">
        <v>-858</v>
      </c>
      <c r="F25" s="59"/>
      <c r="G25" s="129">
        <f>J25-D25</f>
        <v>-933.0395199999991</v>
      </c>
      <c r="H25" s="129">
        <v>-921</v>
      </c>
      <c r="I25" s="59"/>
      <c r="J25" s="129">
        <f>'[10]1conso-YTD'!$Q$20</f>
        <v>-2973.7166699999993</v>
      </c>
      <c r="K25" s="129">
        <v>-2674</v>
      </c>
      <c r="L25" s="87"/>
      <c r="P25" s="102">
        <v>-681.92669</v>
      </c>
      <c r="R25" s="51" t="s">
        <v>136</v>
      </c>
    </row>
    <row r="26" spans="2:18" s="51" customFormat="1" ht="14.25">
      <c r="B26" s="64"/>
      <c r="C26" s="129"/>
      <c r="D26" s="132"/>
      <c r="E26" s="129"/>
      <c r="F26" s="59"/>
      <c r="G26" s="132"/>
      <c r="H26" s="129"/>
      <c r="I26" s="59"/>
      <c r="J26" s="129"/>
      <c r="K26" s="129"/>
      <c r="L26" s="60"/>
      <c r="P26" s="102"/>
      <c r="R26" s="64"/>
    </row>
    <row r="27" spans="2:18" s="51" customFormat="1" ht="14.25">
      <c r="B27" s="51" t="s">
        <v>51</v>
      </c>
      <c r="C27" s="129"/>
      <c r="D27" s="129">
        <f>'[6]1conso-YTD'!$Q$25</f>
        <v>-969.79204</v>
      </c>
      <c r="E27" s="129">
        <v>-654</v>
      </c>
      <c r="F27" s="63"/>
      <c r="G27" s="129">
        <f>J27-D27</f>
        <v>-504.6713099999997</v>
      </c>
      <c r="H27" s="129">
        <v>-793</v>
      </c>
      <c r="I27" s="63"/>
      <c r="J27" s="129">
        <f>'[10]1conso-YTD'!$Q$25</f>
        <v>-1474.4633499999998</v>
      </c>
      <c r="K27" s="129">
        <v>-1853</v>
      </c>
      <c r="L27" s="60"/>
      <c r="P27" s="102">
        <v>-937.79819</v>
      </c>
      <c r="R27" s="51" t="s">
        <v>51</v>
      </c>
    </row>
    <row r="28" spans="3:16" s="51" customFormat="1" ht="14.25">
      <c r="C28" s="132"/>
      <c r="D28" s="133"/>
      <c r="E28" s="133"/>
      <c r="F28" s="59"/>
      <c r="G28" s="133"/>
      <c r="H28" s="133"/>
      <c r="I28" s="59"/>
      <c r="J28" s="133"/>
      <c r="K28" s="133"/>
      <c r="L28" s="87"/>
      <c r="P28" s="102"/>
    </row>
    <row r="29" spans="2:19" s="51" customFormat="1" ht="15">
      <c r="B29" s="16" t="s">
        <v>128</v>
      </c>
      <c r="C29" s="129"/>
      <c r="D29" s="129">
        <f>SUM(D19:D28)</f>
        <v>5319.23745</v>
      </c>
      <c r="E29" s="129">
        <f>SUM(E19:E28)</f>
        <v>6690</v>
      </c>
      <c r="F29" s="59"/>
      <c r="G29" s="129">
        <f>SUM(G19:G28)</f>
        <v>2733.684</v>
      </c>
      <c r="H29" s="129">
        <f>SUM(H19:H28)</f>
        <v>5453</v>
      </c>
      <c r="I29" s="59"/>
      <c r="J29" s="129">
        <f>SUM(J19:J27)</f>
        <v>8053.92145</v>
      </c>
      <c r="K29" s="129">
        <f>SUM(K19:K28)</f>
        <v>15806</v>
      </c>
      <c r="L29" s="60"/>
      <c r="N29" s="137" t="e">
        <f>#REF!/#REF!</f>
        <v>#REF!</v>
      </c>
      <c r="O29" s="137">
        <f>J29/J15</f>
        <v>0.13074327408391764</v>
      </c>
      <c r="P29" s="102">
        <v>7577.630109999996</v>
      </c>
      <c r="R29" s="16" t="s">
        <v>128</v>
      </c>
      <c r="S29" s="115"/>
    </row>
    <row r="30" spans="3:16" s="51" customFormat="1" ht="14.25">
      <c r="C30" s="129"/>
      <c r="D30" s="129"/>
      <c r="E30" s="129"/>
      <c r="F30" s="59"/>
      <c r="G30" s="129"/>
      <c r="H30" s="129"/>
      <c r="I30" s="59"/>
      <c r="J30" s="129"/>
      <c r="K30" s="129"/>
      <c r="L30" s="60"/>
      <c r="P30" s="102"/>
    </row>
    <row r="31" spans="2:18" s="51" customFormat="1" ht="14.25">
      <c r="B31" s="51" t="s">
        <v>33</v>
      </c>
      <c r="C31" s="129"/>
      <c r="D31" s="129">
        <f>'[6]1conso-YTD'!$Q$27</f>
        <v>-1278.4492299999997</v>
      </c>
      <c r="E31" s="129">
        <v>-1332</v>
      </c>
      <c r="F31" s="59"/>
      <c r="G31" s="129">
        <f>J31-D31</f>
        <v>-694.7900000000002</v>
      </c>
      <c r="H31" s="129">
        <v>-1250</v>
      </c>
      <c r="I31" s="59"/>
      <c r="J31" s="129">
        <f>'[10]1conso-YTD'!$Q$27</f>
        <v>-1973.23923</v>
      </c>
      <c r="K31" s="129">
        <v>-3414</v>
      </c>
      <c r="L31" s="60"/>
      <c r="P31" s="102">
        <v>-1821.0964013993403</v>
      </c>
      <c r="R31" s="51" t="s">
        <v>33</v>
      </c>
    </row>
    <row r="32" spans="3:16" s="51" customFormat="1" ht="14.25">
      <c r="C32" s="132"/>
      <c r="D32" s="132"/>
      <c r="E32" s="132"/>
      <c r="F32" s="59"/>
      <c r="G32" s="132"/>
      <c r="H32" s="132"/>
      <c r="I32" s="59"/>
      <c r="J32" s="133"/>
      <c r="K32" s="133"/>
      <c r="L32" s="87"/>
      <c r="P32" s="102"/>
    </row>
    <row r="33" spans="2:18" s="51" customFormat="1" ht="15.75" thickBot="1">
      <c r="B33" s="16" t="s">
        <v>129</v>
      </c>
      <c r="C33" s="132"/>
      <c r="D33" s="130">
        <f>SUM(D29:D32)</f>
        <v>4040.78822</v>
      </c>
      <c r="E33" s="130">
        <f>SUM(E29:E32)</f>
        <v>5358</v>
      </c>
      <c r="F33" s="59"/>
      <c r="G33" s="130">
        <f>SUM(G29:G32)</f>
        <v>2038.894</v>
      </c>
      <c r="H33" s="130">
        <f>SUM(H29:H32)</f>
        <v>4203</v>
      </c>
      <c r="I33" s="59"/>
      <c r="J33" s="130">
        <f>SUM(J29:J32)</f>
        <v>6080.68222</v>
      </c>
      <c r="K33" s="130">
        <f>SUM(K29:K32)</f>
        <v>12392</v>
      </c>
      <c r="L33" s="60"/>
      <c r="N33" s="137" t="e">
        <f>#REF!/#REF!</f>
        <v>#REF!</v>
      </c>
      <c r="O33" s="137">
        <f>J33/J15</f>
        <v>0.09871070968871502</v>
      </c>
      <c r="P33" s="102">
        <v>5756.533708600657</v>
      </c>
      <c r="R33" s="16" t="s">
        <v>129</v>
      </c>
    </row>
    <row r="34" spans="2:18" s="51" customFormat="1" ht="15.75" thickTop="1">
      <c r="B34" s="16"/>
      <c r="C34" s="132"/>
      <c r="D34" s="132"/>
      <c r="E34" s="132"/>
      <c r="F34" s="59"/>
      <c r="G34" s="132"/>
      <c r="H34" s="132"/>
      <c r="I34" s="59"/>
      <c r="J34" s="132"/>
      <c r="K34" s="132"/>
      <c r="L34" s="60"/>
      <c r="N34" s="137"/>
      <c r="O34" s="137"/>
      <c r="P34" s="102"/>
      <c r="R34" s="16"/>
    </row>
    <row r="35" spans="2:18" s="51" customFormat="1" ht="15">
      <c r="B35" s="16" t="s">
        <v>219</v>
      </c>
      <c r="C35" s="185"/>
      <c r="D35" s="185">
        <v>0</v>
      </c>
      <c r="E35" s="185">
        <v>0</v>
      </c>
      <c r="F35" s="186"/>
      <c r="G35" s="185">
        <v>0</v>
      </c>
      <c r="H35" s="185">
        <v>0</v>
      </c>
      <c r="I35" s="186"/>
      <c r="J35" s="185">
        <v>0</v>
      </c>
      <c r="K35" s="185">
        <v>0</v>
      </c>
      <c r="L35" s="60"/>
      <c r="N35" s="137"/>
      <c r="O35" s="137"/>
      <c r="P35" s="102"/>
      <c r="R35" s="16"/>
    </row>
    <row r="36" spans="2:18" s="51" customFormat="1" ht="15">
      <c r="B36" s="16"/>
      <c r="C36" s="185"/>
      <c r="D36" s="185"/>
      <c r="E36" s="185"/>
      <c r="F36" s="186"/>
      <c r="G36" s="185"/>
      <c r="H36" s="185"/>
      <c r="I36" s="186"/>
      <c r="J36" s="185"/>
      <c r="K36" s="185"/>
      <c r="L36" s="60"/>
      <c r="N36" s="137"/>
      <c r="O36" s="137"/>
      <c r="P36" s="102"/>
      <c r="R36" s="16"/>
    </row>
    <row r="37" spans="2:18" s="51" customFormat="1" ht="15">
      <c r="B37" s="16" t="s">
        <v>220</v>
      </c>
      <c r="C37" s="185"/>
      <c r="D37" s="187">
        <f>SUM(D35:D36)</f>
        <v>0</v>
      </c>
      <c r="E37" s="187">
        <f>SUM(E35:E36)</f>
        <v>0</v>
      </c>
      <c r="F37" s="186"/>
      <c r="G37" s="187">
        <f>SUM(G35:G36)</f>
        <v>0</v>
      </c>
      <c r="H37" s="187">
        <f>SUM(H35:H36)</f>
        <v>0</v>
      </c>
      <c r="I37" s="186"/>
      <c r="J37" s="187">
        <f>SUM(J35:J36)</f>
        <v>0</v>
      </c>
      <c r="K37" s="187">
        <v>0</v>
      </c>
      <c r="L37" s="60"/>
      <c r="N37" s="137"/>
      <c r="O37" s="137"/>
      <c r="P37" s="102"/>
      <c r="R37" s="16"/>
    </row>
    <row r="38" spans="2:18" s="51" customFormat="1" ht="15">
      <c r="B38" s="16"/>
      <c r="C38" s="132"/>
      <c r="D38" s="132"/>
      <c r="E38" s="132"/>
      <c r="F38" s="59"/>
      <c r="G38" s="132"/>
      <c r="H38" s="132"/>
      <c r="I38" s="59"/>
      <c r="J38" s="132"/>
      <c r="K38" s="132"/>
      <c r="L38" s="60"/>
      <c r="N38" s="137"/>
      <c r="O38" s="137"/>
      <c r="P38" s="102"/>
      <c r="R38" s="16"/>
    </row>
    <row r="39" spans="2:18" s="51" customFormat="1" ht="15.75" thickBot="1">
      <c r="B39" s="16" t="s">
        <v>221</v>
      </c>
      <c r="C39" s="132"/>
      <c r="D39" s="134">
        <f>D33</f>
        <v>4040.78822</v>
      </c>
      <c r="E39" s="134">
        <f>E33</f>
        <v>5358</v>
      </c>
      <c r="F39" s="59"/>
      <c r="G39" s="134">
        <f>G33</f>
        <v>2038.894</v>
      </c>
      <c r="H39" s="134">
        <f>H33</f>
        <v>4203</v>
      </c>
      <c r="I39" s="59"/>
      <c r="J39" s="134">
        <f>J33</f>
        <v>6080.68222</v>
      </c>
      <c r="K39" s="134">
        <f>K33</f>
        <v>12392</v>
      </c>
      <c r="L39" s="60"/>
      <c r="N39" s="137"/>
      <c r="O39" s="137"/>
      <c r="P39" s="102"/>
      <c r="R39" s="16"/>
    </row>
    <row r="40" spans="2:18" s="51" customFormat="1" ht="15.75" thickTop="1">
      <c r="B40" s="16"/>
      <c r="C40" s="132"/>
      <c r="D40" s="132"/>
      <c r="E40" s="132"/>
      <c r="F40" s="59"/>
      <c r="G40" s="132"/>
      <c r="H40" s="132"/>
      <c r="I40" s="59"/>
      <c r="J40" s="132"/>
      <c r="K40" s="132"/>
      <c r="L40" s="60"/>
      <c r="N40" s="137"/>
      <c r="O40" s="137"/>
      <c r="P40" s="102"/>
      <c r="R40" s="16"/>
    </row>
    <row r="41" spans="2:18" s="51" customFormat="1" ht="15">
      <c r="B41" s="16" t="s">
        <v>229</v>
      </c>
      <c r="C41" s="132"/>
      <c r="D41" s="132"/>
      <c r="E41" s="132"/>
      <c r="F41" s="59"/>
      <c r="G41" s="132"/>
      <c r="H41" s="132"/>
      <c r="I41" s="59"/>
      <c r="J41" s="132"/>
      <c r="K41" s="132"/>
      <c r="L41" s="60"/>
      <c r="N41" s="137"/>
      <c r="O41" s="137"/>
      <c r="P41" s="102"/>
      <c r="R41" s="16"/>
    </row>
    <row r="42" spans="2:18" s="51" customFormat="1" ht="15">
      <c r="B42" s="16"/>
      <c r="C42" s="132"/>
      <c r="D42" s="132"/>
      <c r="E42" s="132"/>
      <c r="F42" s="59"/>
      <c r="G42" s="132"/>
      <c r="H42" s="132"/>
      <c r="I42" s="59"/>
      <c r="J42" s="132"/>
      <c r="K42" s="132"/>
      <c r="L42" s="60"/>
      <c r="N42" s="137"/>
      <c r="O42" s="137"/>
      <c r="P42" s="102"/>
      <c r="R42" s="16"/>
    </row>
    <row r="43" spans="2:18" s="51" customFormat="1" ht="15">
      <c r="B43" s="51" t="s">
        <v>230</v>
      </c>
      <c r="C43" s="132"/>
      <c r="D43" s="132">
        <v>4048</v>
      </c>
      <c r="E43" s="132">
        <v>5355</v>
      </c>
      <c r="F43" s="59"/>
      <c r="G43" s="176">
        <f>J43-D43-1</f>
        <v>2079</v>
      </c>
      <c r="H43" s="176">
        <v>4200</v>
      </c>
      <c r="I43" s="62"/>
      <c r="J43" s="176">
        <v>6128</v>
      </c>
      <c r="K43" s="176">
        <v>12387</v>
      </c>
      <c r="L43" s="60"/>
      <c r="N43" s="137"/>
      <c r="O43" s="137"/>
      <c r="P43" s="102"/>
      <c r="R43" s="16"/>
    </row>
    <row r="44" spans="3:18" s="51" customFormat="1" ht="15">
      <c r="C44" s="132"/>
      <c r="D44" s="132"/>
      <c r="E44" s="132"/>
      <c r="F44" s="59"/>
      <c r="G44" s="176"/>
      <c r="H44" s="176"/>
      <c r="I44" s="62"/>
      <c r="J44" s="176"/>
      <c r="K44" s="176"/>
      <c r="L44" s="60"/>
      <c r="N44" s="137"/>
      <c r="O44" s="137"/>
      <c r="P44" s="102"/>
      <c r="R44" s="16"/>
    </row>
    <row r="45" spans="2:18" s="51" customFormat="1" ht="15">
      <c r="B45" s="51" t="s">
        <v>231</v>
      </c>
      <c r="C45" s="218"/>
      <c r="D45" s="129">
        <f>-'[6]1conso-YTD'!$Q$29</f>
        <v>-6.715400000000001</v>
      </c>
      <c r="E45" s="129">
        <v>3</v>
      </c>
      <c r="F45" s="59"/>
      <c r="G45" s="217">
        <f>J45-D45</f>
        <v>-40.09465</v>
      </c>
      <c r="H45" s="217">
        <v>3</v>
      </c>
      <c r="I45" s="62"/>
      <c r="J45" s="217">
        <f>-'[10]1conso-YTD'!$Q$29</f>
        <v>-46.810050000000004</v>
      </c>
      <c r="K45" s="217">
        <v>5</v>
      </c>
      <c r="L45" s="60"/>
      <c r="N45" s="137"/>
      <c r="O45" s="137"/>
      <c r="P45" s="102"/>
      <c r="R45" s="16"/>
    </row>
    <row r="46" spans="2:18" s="51" customFormat="1" ht="15">
      <c r="B46" s="16"/>
      <c r="C46" s="132"/>
      <c r="D46" s="132"/>
      <c r="E46" s="132"/>
      <c r="F46" s="59"/>
      <c r="G46" s="176"/>
      <c r="H46" s="176"/>
      <c r="I46" s="62"/>
      <c r="J46" s="176"/>
      <c r="K46" s="176"/>
      <c r="L46" s="60"/>
      <c r="N46" s="137"/>
      <c r="O46" s="137"/>
      <c r="P46" s="102"/>
      <c r="R46" s="16"/>
    </row>
    <row r="47" spans="2:18" s="51" customFormat="1" ht="15.75" thickBot="1">
      <c r="B47" s="51" t="s">
        <v>222</v>
      </c>
      <c r="C47" s="132"/>
      <c r="D47" s="130">
        <f>SUM(D43:D46)</f>
        <v>4041.2846</v>
      </c>
      <c r="E47" s="130">
        <f>SUM(E43:E46)</f>
        <v>5358</v>
      </c>
      <c r="F47" s="59"/>
      <c r="G47" s="221">
        <f>SUM(G43:G46)</f>
        <v>2038.90535</v>
      </c>
      <c r="H47" s="221">
        <f>SUM(H43:H46)</f>
        <v>4203</v>
      </c>
      <c r="I47" s="62"/>
      <c r="J47" s="221">
        <f>SUM(J43:J46)</f>
        <v>6081.18995</v>
      </c>
      <c r="K47" s="221">
        <f>SUM(K43:K46)</f>
        <v>12392</v>
      </c>
      <c r="L47" s="60"/>
      <c r="N47" s="137"/>
      <c r="O47" s="137"/>
      <c r="P47" s="102"/>
      <c r="R47" s="16"/>
    </row>
    <row r="48" spans="2:18" s="51" customFormat="1" ht="15.75" thickTop="1">
      <c r="B48" s="51" t="s">
        <v>223</v>
      </c>
      <c r="C48" s="63"/>
      <c r="D48" s="132"/>
      <c r="E48" s="63"/>
      <c r="F48" s="59"/>
      <c r="G48" s="176"/>
      <c r="H48" s="222"/>
      <c r="I48" s="62"/>
      <c r="J48" s="176"/>
      <c r="K48" s="176"/>
      <c r="L48" s="60"/>
      <c r="N48" s="137"/>
      <c r="O48" s="137"/>
      <c r="P48" s="102"/>
      <c r="R48" s="16"/>
    </row>
    <row r="49" spans="2:18" s="51" customFormat="1" ht="15">
      <c r="B49" s="16"/>
      <c r="C49" s="63"/>
      <c r="D49" s="132"/>
      <c r="E49" s="63"/>
      <c r="F49" s="59"/>
      <c r="G49" s="176"/>
      <c r="H49" s="222"/>
      <c r="I49" s="62"/>
      <c r="J49" s="176"/>
      <c r="K49" s="176"/>
      <c r="L49" s="60"/>
      <c r="N49" s="137"/>
      <c r="O49" s="137"/>
      <c r="P49" s="102"/>
      <c r="R49" s="16"/>
    </row>
    <row r="50" spans="2:12" s="51" customFormat="1" ht="14.25">
      <c r="B50" s="54" t="s">
        <v>146</v>
      </c>
      <c r="C50" s="63"/>
      <c r="D50" s="132"/>
      <c r="E50" s="63"/>
      <c r="F50" s="59"/>
      <c r="G50" s="176"/>
      <c r="H50" s="222"/>
      <c r="I50" s="62"/>
      <c r="J50" s="222"/>
      <c r="K50" s="176"/>
      <c r="L50" s="87"/>
    </row>
    <row r="51" spans="2:12" s="51" customFormat="1" ht="14.25">
      <c r="B51" s="54" t="s">
        <v>147</v>
      </c>
      <c r="C51" s="217"/>
      <c r="D51" s="217">
        <f>'[7]weighted avr share'!$O$68/1000</f>
        <v>154615.3846153846</v>
      </c>
      <c r="E51" s="217">
        <v>90000</v>
      </c>
      <c r="F51" s="62"/>
      <c r="G51" s="217">
        <f>'[8]weighted avr share'!$O$68/1000</f>
        <v>157322.40437158468</v>
      </c>
      <c r="H51" s="217">
        <v>90000</v>
      </c>
      <c r="I51" s="62"/>
      <c r="J51" s="176">
        <f>'[8]weighted avr share'!$O$46/1000</f>
        <v>135128.20512820513</v>
      </c>
      <c r="K51" s="217">
        <v>90000</v>
      </c>
      <c r="L51" s="87"/>
    </row>
    <row r="52" spans="2:12" s="51" customFormat="1" ht="14.25">
      <c r="B52" s="54"/>
      <c r="C52" s="176"/>
      <c r="D52" s="176"/>
      <c r="E52" s="176"/>
      <c r="F52" s="62"/>
      <c r="G52" s="176"/>
      <c r="H52" s="176"/>
      <c r="I52" s="62"/>
      <c r="J52" s="176"/>
      <c r="K52" s="176"/>
      <c r="L52" s="87"/>
    </row>
    <row r="53" spans="2:12" s="51" customFormat="1" ht="14.25">
      <c r="B53" s="51" t="s">
        <v>224</v>
      </c>
      <c r="C53" s="177"/>
      <c r="D53" s="177">
        <f>D43/D51*100</f>
        <v>2.6181094527363187</v>
      </c>
      <c r="E53" s="177">
        <f>E43/E51*100</f>
        <v>5.949999999999999</v>
      </c>
      <c r="F53" s="62"/>
      <c r="G53" s="177">
        <f>G43/G51*100</f>
        <v>1.3214901007294202</v>
      </c>
      <c r="H53" s="177">
        <f>H43/H51*100</f>
        <v>4.666666666666667</v>
      </c>
      <c r="I53" s="62"/>
      <c r="J53" s="177">
        <f>J43/J51*100</f>
        <v>4.534952561669829</v>
      </c>
      <c r="K53" s="177">
        <f>K43/K51*100</f>
        <v>13.763333333333334</v>
      </c>
      <c r="L53" s="60"/>
    </row>
    <row r="54" spans="11:12" s="51" customFormat="1" ht="14.25">
      <c r="K54" s="219"/>
      <c r="L54" s="60"/>
    </row>
    <row r="55" spans="3:12" s="51" customFormat="1" ht="14.25">
      <c r="C55" s="65"/>
      <c r="D55" s="65"/>
      <c r="E55" s="65"/>
      <c r="F55" s="65"/>
      <c r="G55" s="65"/>
      <c r="H55" s="65"/>
      <c r="I55" s="65"/>
      <c r="J55" s="65"/>
      <c r="K55" s="65"/>
      <c r="L55" s="60"/>
    </row>
    <row r="56" s="51" customFormat="1" ht="15">
      <c r="B56" s="66" t="s">
        <v>80</v>
      </c>
    </row>
    <row r="57" s="51" customFormat="1" ht="14.25">
      <c r="B57" s="51" t="s">
        <v>99</v>
      </c>
    </row>
    <row r="58" spans="1:2" s="51" customFormat="1" ht="18">
      <c r="A58" s="120" t="s">
        <v>126</v>
      </c>
      <c r="B58" s="119" t="s">
        <v>141</v>
      </c>
    </row>
    <row r="59" spans="1:2" s="51" customFormat="1" ht="18">
      <c r="A59" s="119"/>
      <c r="B59" s="121" t="s">
        <v>142</v>
      </c>
    </row>
    <row r="60" spans="1:2" s="51" customFormat="1" ht="11.25" customHeight="1">
      <c r="A60" s="119"/>
      <c r="B60" s="119"/>
    </row>
    <row r="61" spans="1:2" s="51" customFormat="1" ht="18">
      <c r="A61" s="118" t="s">
        <v>127</v>
      </c>
      <c r="B61" s="119" t="s">
        <v>225</v>
      </c>
    </row>
    <row r="62" spans="1:2" s="51" customFormat="1" ht="18">
      <c r="A62" s="119"/>
      <c r="B62" s="119" t="s">
        <v>247</v>
      </c>
    </row>
    <row r="63" spans="1:2" s="51" customFormat="1" ht="15.75" customHeight="1">
      <c r="A63" s="119"/>
      <c r="B63" s="119" t="s">
        <v>99</v>
      </c>
    </row>
    <row r="64" spans="1:2" s="51" customFormat="1" ht="15.75" customHeight="1">
      <c r="A64" s="118"/>
      <c r="B64" s="119"/>
    </row>
    <row r="65" spans="2:11" ht="16.5" customHeight="1">
      <c r="B65" s="119"/>
      <c r="C65" s="38"/>
      <c r="D65" s="38"/>
      <c r="E65" s="38"/>
      <c r="F65" s="38"/>
      <c r="G65" s="38"/>
      <c r="H65" s="38"/>
      <c r="I65" s="38"/>
      <c r="J65" s="38"/>
      <c r="K65" s="38"/>
    </row>
    <row r="66" spans="2:11" ht="12.75">
      <c r="B66" s="38"/>
      <c r="C66" s="38"/>
      <c r="D66" s="38"/>
      <c r="E66" s="38"/>
      <c r="F66" s="38"/>
      <c r="G66" s="38"/>
      <c r="H66" s="38"/>
      <c r="I66" s="38"/>
      <c r="J66" s="38"/>
      <c r="K66" s="38"/>
    </row>
    <row r="67" ht="12.75">
      <c r="K67" s="38"/>
    </row>
    <row r="94" spans="2:10" ht="12.75">
      <c r="B94" s="38"/>
      <c r="C94" s="38"/>
      <c r="D94" s="38"/>
      <c r="E94" s="38"/>
      <c r="F94" s="38"/>
      <c r="G94" s="38"/>
      <c r="H94" s="38"/>
      <c r="I94" s="38"/>
      <c r="J94" s="116">
        <f>'[2]weighted avr share'!$O$36/1000</f>
        <v>0</v>
      </c>
    </row>
  </sheetData>
  <sheetProtection/>
  <mergeCells count="9">
    <mergeCell ref="G8:G11"/>
    <mergeCell ref="H8:H11"/>
    <mergeCell ref="D8:D11"/>
    <mergeCell ref="E8:E11"/>
    <mergeCell ref="J7:K7"/>
    <mergeCell ref="J8:J11"/>
    <mergeCell ref="K8:K11"/>
    <mergeCell ref="D7:E7"/>
    <mergeCell ref="G7:H7"/>
  </mergeCells>
  <printOptions gridLines="1"/>
  <pageMargins left="0.22" right="0.17" top="0.17" bottom="0.16" header="0.17" footer="0.1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49"/>
  <sheetViews>
    <sheetView zoomScalePageLayoutView="0" workbookViewId="0" topLeftCell="A16">
      <selection activeCell="D12" sqref="D12"/>
    </sheetView>
  </sheetViews>
  <sheetFormatPr defaultColWidth="9.140625" defaultRowHeight="12.75"/>
  <cols>
    <col min="2" max="2" width="51.28125" style="0" customWidth="1"/>
    <col min="4" max="4" width="16.57421875" style="0" customWidth="1"/>
  </cols>
  <sheetData>
    <row r="1" spans="2:4" ht="15">
      <c r="B1" s="139" t="s">
        <v>155</v>
      </c>
      <c r="C1" s="138"/>
      <c r="D1" s="138"/>
    </row>
    <row r="2" spans="2:4" ht="15">
      <c r="B2" s="139" t="s">
        <v>156</v>
      </c>
      <c r="C2" s="138"/>
      <c r="D2" s="138"/>
    </row>
    <row r="3" spans="2:4" ht="15">
      <c r="B3" s="144"/>
      <c r="C3" s="144"/>
      <c r="D3" s="140">
        <v>2009</v>
      </c>
    </row>
    <row r="4" spans="2:4" ht="15">
      <c r="B4" s="140"/>
      <c r="C4" s="144"/>
      <c r="D4" s="140" t="s">
        <v>157</v>
      </c>
    </row>
    <row r="5" spans="2:4" ht="15">
      <c r="B5" s="144"/>
      <c r="C5" s="144"/>
      <c r="D5" s="140"/>
    </row>
    <row r="6" spans="2:4" ht="15">
      <c r="B6" s="144" t="s">
        <v>34</v>
      </c>
      <c r="C6" s="144"/>
      <c r="D6" s="140"/>
    </row>
    <row r="7" spans="2:4" ht="15">
      <c r="B7" s="144" t="s">
        <v>35</v>
      </c>
      <c r="C7" s="145"/>
      <c r="D7" s="141"/>
    </row>
    <row r="8" spans="2:4" ht="14.25">
      <c r="B8" s="145" t="s">
        <v>112</v>
      </c>
      <c r="C8" s="145">
        <v>4</v>
      </c>
      <c r="D8" s="146">
        <v>27432609</v>
      </c>
    </row>
    <row r="9" spans="2:4" ht="14.25">
      <c r="B9" s="145" t="s">
        <v>158</v>
      </c>
      <c r="C9" s="145">
        <v>5</v>
      </c>
      <c r="D9" s="146">
        <v>2517123</v>
      </c>
    </row>
    <row r="10" spans="2:4" ht="15" thickBot="1">
      <c r="B10" s="145" t="s">
        <v>159</v>
      </c>
      <c r="C10" s="145">
        <v>6</v>
      </c>
      <c r="D10" s="147">
        <v>373969</v>
      </c>
    </row>
    <row r="11" spans="2:4" ht="15" thickBot="1">
      <c r="B11" s="145"/>
      <c r="C11" s="145"/>
      <c r="D11" s="147">
        <v>30323701</v>
      </c>
    </row>
    <row r="12" spans="2:4" ht="14.25">
      <c r="B12" s="145"/>
      <c r="C12" s="145"/>
      <c r="D12" s="141"/>
    </row>
    <row r="13" spans="2:4" ht="15">
      <c r="B13" s="144" t="s">
        <v>160</v>
      </c>
      <c r="C13" s="145"/>
      <c r="D13" s="141"/>
    </row>
    <row r="14" spans="2:4" ht="14.25">
      <c r="B14" s="145" t="s">
        <v>54</v>
      </c>
      <c r="C14" s="145"/>
      <c r="D14" s="146">
        <v>5552350</v>
      </c>
    </row>
    <row r="15" spans="2:4" ht="14.25">
      <c r="B15" s="145" t="s">
        <v>53</v>
      </c>
      <c r="C15" s="145"/>
      <c r="D15" s="146">
        <v>16242532</v>
      </c>
    </row>
    <row r="16" spans="2:4" ht="14.25">
      <c r="B16" s="145" t="s">
        <v>113</v>
      </c>
      <c r="C16" s="145">
        <v>7</v>
      </c>
      <c r="D16" s="146">
        <v>16697047</v>
      </c>
    </row>
    <row r="17" spans="2:4" ht="14.25">
      <c r="B17" s="145" t="s">
        <v>161</v>
      </c>
      <c r="C17" s="145">
        <v>8</v>
      </c>
      <c r="D17" s="146">
        <v>969346</v>
      </c>
    </row>
    <row r="18" spans="2:4" ht="14.25">
      <c r="B18" s="145" t="s">
        <v>162</v>
      </c>
      <c r="C18" s="145"/>
      <c r="D18" s="146">
        <v>641291</v>
      </c>
    </row>
    <row r="19" spans="2:4" ht="14.25">
      <c r="B19" s="145" t="s">
        <v>163</v>
      </c>
      <c r="C19" s="145">
        <v>9</v>
      </c>
      <c r="D19" s="146">
        <v>8538068</v>
      </c>
    </row>
    <row r="20" spans="2:4" ht="14.25">
      <c r="B20" s="145" t="s">
        <v>81</v>
      </c>
      <c r="C20" s="145">
        <v>10</v>
      </c>
      <c r="D20" s="146">
        <v>19711108</v>
      </c>
    </row>
    <row r="21" spans="2:4" ht="15" thickBot="1">
      <c r="B21" s="145" t="s">
        <v>164</v>
      </c>
      <c r="C21" s="145"/>
      <c r="D21" s="147">
        <v>3199333</v>
      </c>
    </row>
    <row r="22" spans="2:4" ht="15" thickBot="1">
      <c r="B22" s="145"/>
      <c r="C22" s="145"/>
      <c r="D22" s="147">
        <v>71551075</v>
      </c>
    </row>
    <row r="23" spans="2:4" ht="14.25">
      <c r="B23" s="145"/>
      <c r="C23" s="145"/>
      <c r="D23" s="141"/>
    </row>
    <row r="24" spans="2:4" ht="15.75" thickBot="1">
      <c r="B24" s="144" t="s">
        <v>165</v>
      </c>
      <c r="C24" s="145"/>
      <c r="D24" s="148">
        <v>101874776</v>
      </c>
    </row>
    <row r="25" spans="2:4" ht="15" thickTop="1">
      <c r="B25" s="145"/>
      <c r="C25" s="145"/>
      <c r="D25" s="141"/>
    </row>
    <row r="26" spans="2:4" ht="15">
      <c r="B26" s="144" t="s">
        <v>37</v>
      </c>
      <c r="C26" s="145"/>
      <c r="D26" s="141"/>
    </row>
    <row r="27" spans="2:4" ht="30">
      <c r="B27" s="144" t="s">
        <v>166</v>
      </c>
      <c r="C27" s="145"/>
      <c r="D27" s="141"/>
    </row>
    <row r="28" spans="2:4" ht="14.25">
      <c r="B28" s="145" t="s">
        <v>57</v>
      </c>
      <c r="C28" s="145">
        <v>11</v>
      </c>
      <c r="D28" s="146">
        <v>45000000</v>
      </c>
    </row>
    <row r="29" spans="2:4" ht="15" thickBot="1">
      <c r="B29" s="145" t="s">
        <v>115</v>
      </c>
      <c r="C29" s="145">
        <v>12</v>
      </c>
      <c r="D29" s="147">
        <v>11565078</v>
      </c>
    </row>
    <row r="30" spans="2:4" ht="15.75" thickBot="1">
      <c r="B30" s="144" t="s">
        <v>62</v>
      </c>
      <c r="C30" s="145"/>
      <c r="D30" s="147">
        <v>56565078</v>
      </c>
    </row>
    <row r="31" spans="2:4" ht="14.25">
      <c r="B31" s="145"/>
      <c r="C31" s="145"/>
      <c r="D31" s="141"/>
    </row>
    <row r="32" spans="2:4" ht="15">
      <c r="B32" s="144" t="s">
        <v>38</v>
      </c>
      <c r="C32" s="145"/>
      <c r="D32" s="141"/>
    </row>
    <row r="33" spans="2:4" ht="14.25">
      <c r="B33" s="145" t="s">
        <v>58</v>
      </c>
      <c r="C33" s="145">
        <v>13</v>
      </c>
      <c r="D33" s="146">
        <v>345789</v>
      </c>
    </row>
    <row r="34" spans="2:4" ht="14.25">
      <c r="B34" s="145" t="s">
        <v>167</v>
      </c>
      <c r="C34" s="145">
        <v>14</v>
      </c>
      <c r="D34" s="146">
        <v>16586846</v>
      </c>
    </row>
    <row r="35" spans="2:4" ht="15" thickBot="1">
      <c r="B35" s="145" t="s">
        <v>117</v>
      </c>
      <c r="C35" s="145">
        <v>15</v>
      </c>
      <c r="D35" s="147">
        <v>1143700</v>
      </c>
    </row>
    <row r="36" spans="2:4" ht="15" thickBot="1">
      <c r="B36" s="145"/>
      <c r="C36" s="145"/>
      <c r="D36" s="147">
        <v>18076335</v>
      </c>
    </row>
    <row r="37" spans="2:4" ht="14.25">
      <c r="B37" s="145"/>
      <c r="C37" s="145"/>
      <c r="D37" s="141"/>
    </row>
    <row r="38" spans="2:4" ht="15">
      <c r="B38" s="144" t="s">
        <v>168</v>
      </c>
      <c r="C38" s="145"/>
      <c r="D38" s="141"/>
    </row>
    <row r="39" spans="2:4" ht="14.25">
      <c r="B39" s="145" t="s">
        <v>169</v>
      </c>
      <c r="C39" s="145">
        <v>16</v>
      </c>
      <c r="D39" s="146">
        <v>8748757</v>
      </c>
    </row>
    <row r="40" spans="2:4" ht="14.25">
      <c r="B40" s="145" t="s">
        <v>118</v>
      </c>
      <c r="C40" s="145"/>
      <c r="D40" s="146">
        <v>2966428</v>
      </c>
    </row>
    <row r="41" spans="2:4" ht="14.25">
      <c r="B41" s="145" t="s">
        <v>58</v>
      </c>
      <c r="C41" s="145">
        <v>13</v>
      </c>
      <c r="D41" s="146">
        <v>127863</v>
      </c>
    </row>
    <row r="42" spans="2:4" ht="14.25">
      <c r="B42" s="145" t="s">
        <v>167</v>
      </c>
      <c r="C42" s="145">
        <v>14</v>
      </c>
      <c r="D42" s="146">
        <v>14173873</v>
      </c>
    </row>
    <row r="43" spans="2:4" ht="15" thickBot="1">
      <c r="B43" s="145" t="s">
        <v>170</v>
      </c>
      <c r="C43" s="145"/>
      <c r="D43" s="147">
        <v>1216442</v>
      </c>
    </row>
    <row r="44" spans="2:4" ht="15" thickBot="1">
      <c r="B44" s="145"/>
      <c r="C44" s="145"/>
      <c r="D44" s="147">
        <v>27233363</v>
      </c>
    </row>
    <row r="45" spans="2:4" ht="14.25">
      <c r="B45" s="145"/>
      <c r="C45" s="145"/>
      <c r="D45" s="141"/>
    </row>
    <row r="46" spans="2:4" ht="15.75" thickBot="1">
      <c r="B46" s="144" t="s">
        <v>171</v>
      </c>
      <c r="C46" s="145"/>
      <c r="D46" s="147">
        <v>45309698</v>
      </c>
    </row>
    <row r="47" spans="2:4" ht="15.75" thickBot="1">
      <c r="B47" s="144" t="s">
        <v>172</v>
      </c>
      <c r="C47" s="145"/>
      <c r="D47" s="148">
        <v>101874776</v>
      </c>
    </row>
    <row r="48" spans="2:4" ht="13.5" thickTop="1">
      <c r="B48" s="142"/>
      <c r="C48" s="142"/>
      <c r="D48" s="149"/>
    </row>
    <row r="49" ht="14.25">
      <c r="B49" s="14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6.00390625" style="0" customWidth="1"/>
    <col min="2" max="2" width="50.57421875" style="0" customWidth="1"/>
    <col min="3" max="3" width="20.7109375" style="0" hidden="1" customWidth="1"/>
    <col min="4" max="4" width="4.421875" style="0" customWidth="1"/>
    <col min="5" max="5" width="21.8515625" style="0" customWidth="1"/>
    <col min="6" max="6" width="4.421875" style="0" customWidth="1"/>
    <col min="7" max="7" width="20.7109375" style="0" customWidth="1"/>
  </cols>
  <sheetData>
    <row r="1" spans="2:8" ht="20.25">
      <c r="B1" s="235" t="str">
        <f>+'Income statement'!B1</f>
        <v>HANDAL RESOURCES  BERHAD (816839-X)</v>
      </c>
      <c r="C1" s="235"/>
      <c r="D1" s="235"/>
      <c r="E1" s="235"/>
      <c r="F1" s="235"/>
      <c r="G1" s="235"/>
      <c r="H1" s="235"/>
    </row>
    <row r="2" spans="2:8" ht="18">
      <c r="B2" s="3"/>
      <c r="C2" s="3"/>
      <c r="D2" s="3"/>
      <c r="E2" s="3"/>
      <c r="F2" s="3"/>
      <c r="G2" s="3"/>
      <c r="H2" s="3"/>
    </row>
    <row r="3" spans="2:8" s="69" customFormat="1" ht="15.75">
      <c r="B3" s="67" t="s">
        <v>216</v>
      </c>
      <c r="C3" s="68"/>
      <c r="D3" s="68"/>
      <c r="E3" s="68"/>
      <c r="F3" s="68"/>
      <c r="G3" s="68"/>
      <c r="H3" s="68"/>
    </row>
    <row r="4" s="69" customFormat="1" ht="15.75">
      <c r="B4" s="67" t="s">
        <v>262</v>
      </c>
    </row>
    <row r="5" s="69" customFormat="1" ht="15"/>
    <row r="6" spans="3:7" s="69" customFormat="1" ht="15.75">
      <c r="C6" s="70" t="s">
        <v>78</v>
      </c>
      <c r="D6" s="70"/>
      <c r="E6" s="70" t="s">
        <v>78</v>
      </c>
      <c r="F6" s="70"/>
      <c r="G6" s="70" t="s">
        <v>120</v>
      </c>
    </row>
    <row r="7" spans="3:7" s="69" customFormat="1" ht="15.75">
      <c r="C7" s="70" t="s">
        <v>79</v>
      </c>
      <c r="D7" s="70"/>
      <c r="E7" s="70" t="s">
        <v>79</v>
      </c>
      <c r="F7" s="70"/>
      <c r="G7" s="70" t="s">
        <v>79</v>
      </c>
    </row>
    <row r="8" spans="3:7" s="69" customFormat="1" ht="15.75">
      <c r="C8" s="70" t="e">
        <f>+'Income statement'!#REF!</f>
        <v>#REF!</v>
      </c>
      <c r="D8" s="70"/>
      <c r="E8" s="71" t="s">
        <v>260</v>
      </c>
      <c r="F8" s="70"/>
      <c r="G8" s="71" t="s">
        <v>236</v>
      </c>
    </row>
    <row r="9" spans="3:7" s="69" customFormat="1" ht="15.75">
      <c r="C9" s="68" t="s">
        <v>3</v>
      </c>
      <c r="D9" s="68"/>
      <c r="E9" s="68" t="s">
        <v>3</v>
      </c>
      <c r="F9" s="68"/>
      <c r="G9" s="68" t="s">
        <v>3</v>
      </c>
    </row>
    <row r="10" spans="3:7" s="69" customFormat="1" ht="15.75">
      <c r="C10" s="68"/>
      <c r="D10" s="68"/>
      <c r="E10" s="68"/>
      <c r="F10" s="68"/>
      <c r="G10" s="68"/>
    </row>
    <row r="11" spans="2:7" s="69" customFormat="1" ht="15.75">
      <c r="B11" s="67" t="s">
        <v>34</v>
      </c>
      <c r="C11" s="68"/>
      <c r="D11" s="68"/>
      <c r="E11" s="68"/>
      <c r="F11" s="68"/>
      <c r="G11" s="68"/>
    </row>
    <row r="12" spans="2:7" s="69" customFormat="1" ht="15.75">
      <c r="B12" s="67" t="s">
        <v>35</v>
      </c>
      <c r="C12" s="105"/>
      <c r="D12" s="68"/>
      <c r="E12" s="68"/>
      <c r="F12" s="68"/>
      <c r="G12" s="68"/>
    </row>
    <row r="13" spans="2:8" s="69" customFormat="1" ht="12.75" customHeight="1">
      <c r="B13" s="72" t="s">
        <v>112</v>
      </c>
      <c r="C13" s="106">
        <f>'[3]1conso-YTD'!$N$65</f>
        <v>27678.76659</v>
      </c>
      <c r="D13" s="73"/>
      <c r="E13" s="106">
        <f>'[10]1conso-YTD'!$Q$67+'[10]1conso-YTD'!$Q$68</f>
        <v>43986.879700000005</v>
      </c>
      <c r="F13" s="73"/>
      <c r="G13" s="106">
        <f>29229+2473</f>
        <v>31702</v>
      </c>
      <c r="H13" s="74"/>
    </row>
    <row r="14" spans="2:8" s="69" customFormat="1" ht="15.75" thickBot="1">
      <c r="B14" s="72" t="s">
        <v>151</v>
      </c>
      <c r="C14" s="107">
        <f>'[3]1conso-YTD'!$N$71</f>
        <v>373.97199</v>
      </c>
      <c r="D14" s="73"/>
      <c r="E14" s="107">
        <f>'[10]1conso-YTD'!$Q$74</f>
        <v>373.96898999999996</v>
      </c>
      <c r="F14" s="73"/>
      <c r="G14" s="107">
        <f>'BS12.09'!D10/1000</f>
        <v>373.969</v>
      </c>
      <c r="H14" s="75"/>
    </row>
    <row r="15" spans="2:8" s="69" customFormat="1" ht="16.5" thickBot="1">
      <c r="B15" s="76"/>
      <c r="C15" s="107">
        <f>SUM(C13:C14)</f>
        <v>28052.738579999997</v>
      </c>
      <c r="D15" s="73"/>
      <c r="E15" s="114">
        <f>SUM(E13:E14)</f>
        <v>44360.848690000006</v>
      </c>
      <c r="F15" s="73"/>
      <c r="G15" s="107">
        <f>SUM(G13:G14)</f>
        <v>32075.969</v>
      </c>
      <c r="H15" s="75"/>
    </row>
    <row r="16" spans="2:8" s="69" customFormat="1" ht="15">
      <c r="B16" s="72"/>
      <c r="C16" s="108"/>
      <c r="D16" s="77"/>
      <c r="E16" s="108"/>
      <c r="F16" s="77"/>
      <c r="G16" s="108"/>
      <c r="H16" s="75"/>
    </row>
    <row r="17" spans="2:8" s="69" customFormat="1" ht="15">
      <c r="B17" s="72"/>
      <c r="C17" s="108"/>
      <c r="D17" s="77"/>
      <c r="E17" s="108"/>
      <c r="F17" s="77"/>
      <c r="G17" s="108"/>
      <c r="H17" s="75"/>
    </row>
    <row r="18" spans="2:8" s="69" customFormat="1" ht="15.75">
      <c r="B18" s="76" t="s">
        <v>4</v>
      </c>
      <c r="C18" s="108"/>
      <c r="D18" s="77"/>
      <c r="E18" s="108"/>
      <c r="F18" s="77"/>
      <c r="G18" s="108"/>
      <c r="H18" s="75"/>
    </row>
    <row r="19" spans="2:8" s="69" customFormat="1" ht="15">
      <c r="B19" s="75" t="s">
        <v>54</v>
      </c>
      <c r="C19" s="106">
        <f>'[3]1conso-YTD'!$N$75</f>
        <v>5239.74082</v>
      </c>
      <c r="D19" s="73"/>
      <c r="E19" s="106">
        <f>'[10]1conso-YTD'!$Q$78</f>
        <v>6428.274800000001</v>
      </c>
      <c r="F19" s="73"/>
      <c r="G19" s="106">
        <v>5195</v>
      </c>
      <c r="H19" s="75"/>
    </row>
    <row r="20" spans="2:8" s="69" customFormat="1" ht="15">
      <c r="B20" s="75" t="s">
        <v>242</v>
      </c>
      <c r="C20" s="106">
        <f>'[3]1conso-YTD'!$N$76</f>
        <v>199</v>
      </c>
      <c r="D20" s="73"/>
      <c r="E20" s="179">
        <f>'[10]1conso-YTD'!$Q$79</f>
        <v>5658</v>
      </c>
      <c r="F20" s="73"/>
      <c r="G20" s="106">
        <v>2212</v>
      </c>
      <c r="H20" s="75"/>
    </row>
    <row r="21" spans="2:8" s="69" customFormat="1" ht="15">
      <c r="B21" s="75" t="s">
        <v>53</v>
      </c>
      <c r="C21" s="106">
        <f>'[3]1conso-YTD'!$N$77</f>
        <v>17984.309699999994</v>
      </c>
      <c r="D21" s="73"/>
      <c r="E21" s="106">
        <f>'[10]1conso-YTD'!$Q$80</f>
        <v>20645.620700000007</v>
      </c>
      <c r="F21" s="73"/>
      <c r="G21" s="106">
        <v>14112</v>
      </c>
      <c r="H21" s="75"/>
    </row>
    <row r="22" spans="2:8" s="69" customFormat="1" ht="15">
      <c r="B22" s="75" t="s">
        <v>113</v>
      </c>
      <c r="C22" s="106">
        <f>'[3]1conso-YTD'!$N$78</f>
        <v>18688.837959999997</v>
      </c>
      <c r="D22" s="73"/>
      <c r="E22" s="106">
        <f>'[10]1conso-YTD'!$Q$81</f>
        <v>21114.1216</v>
      </c>
      <c r="F22" s="73"/>
      <c r="G22" s="106">
        <f>28631+324</f>
        <v>28955</v>
      </c>
      <c r="H22" s="75"/>
    </row>
    <row r="23" spans="2:8" s="69" customFormat="1" ht="15">
      <c r="B23" s="75" t="s">
        <v>55</v>
      </c>
      <c r="C23" s="106">
        <f>'[3]1conso-YTD'!$N$80+'[3]1conso-YTD'!$N$81+750</f>
        <v>1382.37885</v>
      </c>
      <c r="D23" s="73"/>
      <c r="E23" s="106">
        <f>'[10]1conso-YTD'!$Q$83+'[10]1conso-YTD'!$Q$84</f>
        <v>8274.48517</v>
      </c>
      <c r="F23" s="73"/>
      <c r="G23" s="106">
        <v>3933</v>
      </c>
      <c r="H23" s="75"/>
    </row>
    <row r="24" spans="2:8" s="69" customFormat="1" ht="15">
      <c r="B24" s="75" t="s">
        <v>114</v>
      </c>
      <c r="C24" s="106">
        <f>'[3]1conso-YTD'!$N$82</f>
        <v>29349.86621</v>
      </c>
      <c r="D24" s="73"/>
      <c r="E24" s="106">
        <f>'[10]1conso-YTD'!$Q$85</f>
        <v>30436.26126</v>
      </c>
      <c r="F24" s="73"/>
      <c r="G24" s="106">
        <f>20123+11807</f>
        <v>31930</v>
      </c>
      <c r="H24" s="75"/>
    </row>
    <row r="25" spans="2:8" s="69" customFormat="1" ht="15.75" thickBot="1">
      <c r="B25" s="75" t="s">
        <v>148</v>
      </c>
      <c r="C25" s="117">
        <f>'[3]1conso-YTD'!$N$83</f>
        <v>3943.64952</v>
      </c>
      <c r="D25" s="73"/>
      <c r="E25" s="107">
        <f>'[10]1conso-YTD'!$Q$86</f>
        <v>11366.237130000001</v>
      </c>
      <c r="F25" s="73"/>
      <c r="G25" s="107">
        <v>7333</v>
      </c>
      <c r="H25" s="75"/>
    </row>
    <row r="26" spans="2:8" s="69" customFormat="1" ht="15.75" thickBot="1">
      <c r="B26" s="72"/>
      <c r="C26" s="107">
        <f>SUM(C19:C25)+0.5</f>
        <v>76788.28306</v>
      </c>
      <c r="D26" s="77"/>
      <c r="E26" s="114">
        <f>SUM(E19:E25)-1</f>
        <v>103922.00065999999</v>
      </c>
      <c r="F26" s="77"/>
      <c r="G26" s="107">
        <f>SUM(G19:G25)</f>
        <v>93670</v>
      </c>
      <c r="H26" s="75"/>
    </row>
    <row r="27" spans="2:8" s="69" customFormat="1" ht="15">
      <c r="B27" s="72"/>
      <c r="C27" s="108"/>
      <c r="D27" s="77"/>
      <c r="E27" s="108"/>
      <c r="F27" s="77"/>
      <c r="G27" s="108"/>
      <c r="H27" s="75"/>
    </row>
    <row r="28" spans="2:8" s="69" customFormat="1" ht="16.5" thickBot="1">
      <c r="B28" s="76" t="s">
        <v>36</v>
      </c>
      <c r="C28" s="109">
        <f>+C26+C15</f>
        <v>104841.02163999999</v>
      </c>
      <c r="D28" s="77"/>
      <c r="E28" s="109">
        <f>+E26+E15</f>
        <v>148282.84935</v>
      </c>
      <c r="F28" s="77"/>
      <c r="G28" s="109">
        <f>G15+G26</f>
        <v>125745.969</v>
      </c>
      <c r="H28" s="75"/>
    </row>
    <row r="29" spans="2:8" s="69" customFormat="1" ht="15.75" thickTop="1">
      <c r="B29" s="72"/>
      <c r="C29" s="108"/>
      <c r="D29" s="77"/>
      <c r="E29" s="108"/>
      <c r="F29" s="77"/>
      <c r="G29" s="108"/>
      <c r="H29" s="75"/>
    </row>
    <row r="30" spans="2:8" s="69" customFormat="1" ht="15.75">
      <c r="B30" s="76" t="s">
        <v>37</v>
      </c>
      <c r="C30" s="108"/>
      <c r="D30" s="77"/>
      <c r="E30" s="108"/>
      <c r="F30" s="77"/>
      <c r="G30" s="108"/>
      <c r="H30" s="75"/>
    </row>
    <row r="31" spans="2:8" s="69" customFormat="1" ht="15.75">
      <c r="B31" s="76" t="s">
        <v>56</v>
      </c>
      <c r="C31" s="108"/>
      <c r="D31" s="77"/>
      <c r="E31" s="108"/>
      <c r="F31" s="77"/>
      <c r="G31" s="108"/>
      <c r="H31" s="75"/>
    </row>
    <row r="32" spans="2:8" s="69" customFormat="1" ht="15">
      <c r="B32" s="75" t="s">
        <v>57</v>
      </c>
      <c r="C32" s="106">
        <f>'[3]1conso-YTD'!$N$95</f>
        <v>45000</v>
      </c>
      <c r="D32" s="73"/>
      <c r="E32" s="106">
        <f>'[10]1conso-YTD'!$Q$99</f>
        <v>80000</v>
      </c>
      <c r="F32" s="73"/>
      <c r="G32" s="106">
        <v>45000</v>
      </c>
      <c r="H32" s="75"/>
    </row>
    <row r="33" spans="2:8" s="69" customFormat="1" ht="15">
      <c r="B33" s="75" t="s">
        <v>143</v>
      </c>
      <c r="C33" s="106">
        <f>'[3]1conso-YTD'!$N$97</f>
        <v>1549.57636</v>
      </c>
      <c r="D33" s="73"/>
      <c r="E33" s="106">
        <f>'[10]1conso-YTD'!$Q$101</f>
        <v>269.93694</v>
      </c>
      <c r="F33" s="73"/>
      <c r="G33" s="106">
        <v>1550</v>
      </c>
      <c r="H33" s="75"/>
    </row>
    <row r="34" spans="2:8" s="69" customFormat="1" ht="15.75" thickBot="1">
      <c r="B34" s="75" t="s">
        <v>115</v>
      </c>
      <c r="C34" s="107">
        <f>'[3]1conso-YTD'!$N$98+750</f>
        <v>12847.421649</v>
      </c>
      <c r="D34" s="73"/>
      <c r="E34" s="223">
        <f>'[10]1conso-YTD'!$Q$102</f>
        <v>21714.670740000005</v>
      </c>
      <c r="F34" s="73"/>
      <c r="G34" s="107">
        <v>23836</v>
      </c>
      <c r="H34" s="75"/>
    </row>
    <row r="35" spans="2:8" s="69" customFormat="1" ht="15">
      <c r="B35" s="75" t="s">
        <v>153</v>
      </c>
      <c r="C35" s="135">
        <f>SUM(C32:C34)</f>
        <v>59396.998009</v>
      </c>
      <c r="D35" s="77"/>
      <c r="E35" s="224">
        <f>SUM(E32:E34)</f>
        <v>101984.60768</v>
      </c>
      <c r="F35" s="77"/>
      <c r="G35" s="135">
        <f>SUM(G32:G34)</f>
        <v>70386</v>
      </c>
      <c r="H35" s="75"/>
    </row>
    <row r="36" spans="2:8" s="69" customFormat="1" ht="15">
      <c r="B36" s="75" t="s">
        <v>154</v>
      </c>
      <c r="C36" s="106">
        <f>'[3]1conso-YTD'!$N$101</f>
        <v>-2.369579</v>
      </c>
      <c r="D36" s="73"/>
      <c r="E36" s="225">
        <f>'[10]1conso-YTD'!$Q$105</f>
        <v>-13.525050000000004</v>
      </c>
      <c r="F36" s="73"/>
      <c r="G36" s="179">
        <v>3</v>
      </c>
      <c r="H36" s="75"/>
    </row>
    <row r="37" spans="2:8" s="69" customFormat="1" ht="15.75" thickBot="1">
      <c r="B37" s="75" t="s">
        <v>121</v>
      </c>
      <c r="C37" s="136">
        <f>SUM(C35:C36)</f>
        <v>59394.628430000004</v>
      </c>
      <c r="D37" s="77"/>
      <c r="E37" s="226">
        <f>SUM(E35:E36)</f>
        <v>101971.08263</v>
      </c>
      <c r="F37" s="77"/>
      <c r="G37" s="136">
        <f>SUM(G35:G36)</f>
        <v>70389</v>
      </c>
      <c r="H37" s="75"/>
    </row>
    <row r="38" spans="2:8" s="69" customFormat="1" ht="15.75">
      <c r="B38" s="78"/>
      <c r="C38" s="106"/>
      <c r="D38" s="77"/>
      <c r="E38" s="108"/>
      <c r="F38" s="77"/>
      <c r="G38" s="106"/>
      <c r="H38" s="75"/>
    </row>
    <row r="39" spans="2:8" s="69" customFormat="1" ht="15.75">
      <c r="B39" s="78" t="s">
        <v>38</v>
      </c>
      <c r="C39" s="106"/>
      <c r="D39" s="77"/>
      <c r="E39" s="108"/>
      <c r="F39" s="77"/>
      <c r="G39" s="106"/>
      <c r="H39" s="75"/>
    </row>
    <row r="40" spans="2:8" s="69" customFormat="1" ht="15">
      <c r="B40" s="75" t="s">
        <v>58</v>
      </c>
      <c r="C40" s="106">
        <f>'[3]1conso-YTD'!$N$106</f>
        <v>128</v>
      </c>
      <c r="D40" s="73"/>
      <c r="E40" s="106">
        <f>'[10]1conso-YTD'!$Q$110</f>
        <v>128</v>
      </c>
      <c r="F40" s="73"/>
      <c r="G40" s="106">
        <v>248</v>
      </c>
      <c r="H40" s="75"/>
    </row>
    <row r="41" spans="2:8" s="69" customFormat="1" ht="15">
      <c r="B41" s="75" t="s">
        <v>116</v>
      </c>
      <c r="C41" s="106">
        <f>'[3]1conso-YTD'!$N$107-5000</f>
        <v>16845.727010000002</v>
      </c>
      <c r="D41" s="73"/>
      <c r="E41" s="106">
        <f>'[10]1conso-YTD'!$Q$111</f>
        <v>19716.38947</v>
      </c>
      <c r="F41" s="73"/>
      <c r="G41" s="106">
        <v>18844</v>
      </c>
      <c r="H41" s="75"/>
    </row>
    <row r="42" spans="2:8" s="69" customFormat="1" ht="15.75" thickBot="1">
      <c r="B42" s="75" t="s">
        <v>117</v>
      </c>
      <c r="C42" s="107">
        <f>'[3]1conso-YTD'!$N$108</f>
        <v>1143.5</v>
      </c>
      <c r="D42" s="73"/>
      <c r="E42" s="107">
        <f>'[10]1conso-YTD'!$Q$112</f>
        <v>1978.5</v>
      </c>
      <c r="F42" s="73"/>
      <c r="G42" s="107">
        <v>1979</v>
      </c>
      <c r="H42" s="75"/>
    </row>
    <row r="43" spans="2:8" s="69" customFormat="1" ht="16.5" thickBot="1">
      <c r="B43" s="78"/>
      <c r="C43" s="107">
        <f>SUM(C40:C42)</f>
        <v>18117.227010000002</v>
      </c>
      <c r="D43" s="77"/>
      <c r="E43" s="114">
        <f>SUM(E40:E42)</f>
        <v>21822.88947</v>
      </c>
      <c r="F43" s="77"/>
      <c r="G43" s="114">
        <f>SUM(G40:G42)</f>
        <v>21071</v>
      </c>
      <c r="H43" s="75"/>
    </row>
    <row r="44" spans="2:8" s="69" customFormat="1" ht="15.75">
      <c r="B44" s="78"/>
      <c r="C44" s="106"/>
      <c r="D44" s="77"/>
      <c r="E44" s="108"/>
      <c r="F44" s="77"/>
      <c r="G44" s="106"/>
      <c r="H44" s="75"/>
    </row>
    <row r="45" spans="2:8" s="69" customFormat="1" ht="15.75">
      <c r="B45" s="78" t="s">
        <v>39</v>
      </c>
      <c r="C45" s="108"/>
      <c r="D45" s="77"/>
      <c r="E45" s="108"/>
      <c r="F45" s="77"/>
      <c r="G45" s="108"/>
      <c r="H45" s="75"/>
    </row>
    <row r="46" spans="2:8" s="69" customFormat="1" ht="15">
      <c r="B46" s="75" t="s">
        <v>243</v>
      </c>
      <c r="C46" s="108"/>
      <c r="D46" s="77"/>
      <c r="E46" s="180">
        <f>'[10]1conso-YTD'!$Q$115</f>
        <v>0</v>
      </c>
      <c r="F46" s="77"/>
      <c r="G46" s="180">
        <v>3257</v>
      </c>
      <c r="H46" s="75"/>
    </row>
    <row r="47" spans="2:8" s="69" customFormat="1" ht="15">
      <c r="B47" s="72" t="s">
        <v>59</v>
      </c>
      <c r="C47" s="106">
        <f>'[3]1conso-YTD'!$N$111</f>
        <v>8518.03714</v>
      </c>
      <c r="D47" s="73"/>
      <c r="E47" s="106">
        <f>'[10]1conso-YTD'!$Q$116</f>
        <v>12337.56617</v>
      </c>
      <c r="F47" s="73"/>
      <c r="G47" s="106">
        <v>10593</v>
      </c>
      <c r="H47" s="75"/>
    </row>
    <row r="48" spans="2:8" s="69" customFormat="1" ht="15">
      <c r="B48" s="72" t="s">
        <v>118</v>
      </c>
      <c r="C48" s="106">
        <f>'[3]1conso-YTD'!$N$112</f>
        <v>2186.2584</v>
      </c>
      <c r="D48" s="73"/>
      <c r="E48" s="225">
        <f>'[10]1conso-YTD'!$Q$117</f>
        <v>1125.06149</v>
      </c>
      <c r="F48" s="73"/>
      <c r="G48" s="106">
        <v>3025</v>
      </c>
      <c r="H48" s="75"/>
    </row>
    <row r="49" spans="2:8" s="69" customFormat="1" ht="15">
      <c r="B49" s="72" t="s">
        <v>58</v>
      </c>
      <c r="C49" s="106">
        <f>'[3]1conso-YTD'!$N$113</f>
        <v>311.98563</v>
      </c>
      <c r="D49" s="73"/>
      <c r="E49" s="106">
        <f>'[10]1conso-YTD'!$Q$118</f>
        <v>144.35646999999994</v>
      </c>
      <c r="F49" s="73"/>
      <c r="G49" s="106">
        <v>97</v>
      </c>
      <c r="H49" s="75"/>
    </row>
    <row r="50" spans="2:8" s="69" customFormat="1" ht="15">
      <c r="B50" s="72" t="s">
        <v>60</v>
      </c>
      <c r="C50" s="106">
        <f>'[3]1conso-YTD'!$N$114+5000</f>
        <v>17328.22855</v>
      </c>
      <c r="D50" s="73"/>
      <c r="E50" s="106">
        <f>'[10]1conso-YTD'!$Q$119</f>
        <v>10881.880879999997</v>
      </c>
      <c r="F50" s="73"/>
      <c r="G50" s="106">
        <v>16947</v>
      </c>
      <c r="H50" s="75"/>
    </row>
    <row r="51" spans="2:8" s="69" customFormat="1" ht="15.75" thickBot="1">
      <c r="B51" s="72" t="s">
        <v>61</v>
      </c>
      <c r="C51" s="106">
        <f>'[3]1conso-YTD'!$N$115</f>
        <v>1489.59725</v>
      </c>
      <c r="D51" s="73"/>
      <c r="E51" s="220">
        <f>'[10]1conso-YTD'!$Q$120</f>
        <v>-0.4170000000000016</v>
      </c>
      <c r="F51" s="73"/>
      <c r="G51" s="107">
        <v>367</v>
      </c>
      <c r="H51" s="75"/>
    </row>
    <row r="52" spans="2:8" s="69" customFormat="1" ht="15.75" thickBot="1">
      <c r="B52" s="75"/>
      <c r="C52" s="114">
        <f>SUM(C47:C51)</f>
        <v>29834.10697</v>
      </c>
      <c r="D52" s="77"/>
      <c r="E52" s="114">
        <f>SUM(E46:E51)+1</f>
        <v>24489.448009999996</v>
      </c>
      <c r="F52" s="77"/>
      <c r="G52" s="114">
        <f>SUM(G46:G51)</f>
        <v>34286</v>
      </c>
      <c r="H52" s="75"/>
    </row>
    <row r="53" spans="2:8" s="69" customFormat="1" ht="12.75" customHeight="1">
      <c r="B53" s="75"/>
      <c r="C53" s="108"/>
      <c r="D53" s="77"/>
      <c r="E53" s="108"/>
      <c r="F53" s="77"/>
      <c r="G53" s="108"/>
      <c r="H53" s="75"/>
    </row>
    <row r="54" spans="2:8" s="69" customFormat="1" ht="15.75">
      <c r="B54" s="78" t="s">
        <v>40</v>
      </c>
      <c r="C54" s="108">
        <f>+C52+C43</f>
        <v>47951.33398</v>
      </c>
      <c r="D54" s="77"/>
      <c r="E54" s="108">
        <f>+E52+E43</f>
        <v>46312.337479999995</v>
      </c>
      <c r="F54" s="77"/>
      <c r="G54" s="108">
        <f>G43+G52</f>
        <v>55357</v>
      </c>
      <c r="H54" s="75"/>
    </row>
    <row r="55" spans="3:8" s="69" customFormat="1" ht="12.75" customHeight="1">
      <c r="C55" s="108"/>
      <c r="D55" s="77"/>
      <c r="E55" s="108"/>
      <c r="F55" s="77"/>
      <c r="G55" s="108"/>
      <c r="H55" s="75"/>
    </row>
    <row r="56" spans="2:8" s="69" customFormat="1" ht="16.5" thickBot="1">
      <c r="B56" s="67" t="s">
        <v>41</v>
      </c>
      <c r="C56" s="109">
        <f>C54+C37</f>
        <v>107345.96241000001</v>
      </c>
      <c r="D56" s="70"/>
      <c r="E56" s="109">
        <f>E54+E37</f>
        <v>148283.42011</v>
      </c>
      <c r="F56" s="70"/>
      <c r="G56" s="109">
        <f>G37+G54</f>
        <v>125746</v>
      </c>
      <c r="H56" s="75"/>
    </row>
    <row r="57" spans="2:8" s="69" customFormat="1" ht="16.5" thickTop="1">
      <c r="B57" s="67"/>
      <c r="C57" s="73"/>
      <c r="D57" s="77"/>
      <c r="E57" s="77"/>
      <c r="F57" s="77"/>
      <c r="G57" s="73"/>
      <c r="H57" s="75"/>
    </row>
    <row r="58" spans="2:8" s="69" customFormat="1" ht="15.75">
      <c r="B58" s="67"/>
      <c r="D58" s="73"/>
      <c r="E58" s="73"/>
      <c r="F58" s="73"/>
      <c r="G58" s="73"/>
      <c r="H58" s="75"/>
    </row>
    <row r="59" spans="2:8" s="69" customFormat="1" ht="15" hidden="1">
      <c r="B59" s="69" t="s">
        <v>6</v>
      </c>
      <c r="C59" s="79" t="e">
        <f>+(+#REF!-C16+#REF!)/43560</f>
        <v>#REF!</v>
      </c>
      <c r="D59" s="79"/>
      <c r="E59" s="79"/>
      <c r="F59" s="79"/>
      <c r="G59" s="79" t="e">
        <f>+(+#REF!-G16+#REF!)/43560</f>
        <v>#REF!</v>
      </c>
      <c r="H59" s="75"/>
    </row>
    <row r="60" spans="2:8" s="69" customFormat="1" ht="15">
      <c r="B60" s="236" t="s">
        <v>130</v>
      </c>
      <c r="C60" s="79"/>
      <c r="D60" s="79"/>
      <c r="E60" s="79"/>
      <c r="F60" s="79"/>
      <c r="G60" s="79"/>
      <c r="H60" s="75"/>
    </row>
    <row r="61" spans="2:8" s="69" customFormat="1" ht="15">
      <c r="B61" s="236"/>
      <c r="C61" s="79">
        <f>+C35/90000</f>
        <v>0.6599666445444444</v>
      </c>
      <c r="D61" s="79"/>
      <c r="E61" s="79">
        <f>+E35/160000</f>
        <v>0.637403798</v>
      </c>
      <c r="F61" s="79"/>
      <c r="G61" s="79">
        <f>G35/90000</f>
        <v>0.7820666666666667</v>
      </c>
      <c r="H61" s="75"/>
    </row>
    <row r="62" s="69" customFormat="1" ht="9.75" customHeight="1">
      <c r="B62" s="80"/>
    </row>
    <row r="63" spans="1:11" s="69" customFormat="1" ht="15">
      <c r="A63" s="81" t="s">
        <v>126</v>
      </c>
      <c r="B63" s="69" t="s">
        <v>217</v>
      </c>
      <c r="C63" s="82"/>
      <c r="D63" s="82"/>
      <c r="E63" s="82"/>
      <c r="F63" s="82"/>
      <c r="G63" s="82"/>
      <c r="H63" s="82"/>
      <c r="I63" s="82"/>
      <c r="J63" s="82"/>
      <c r="K63" s="82"/>
    </row>
    <row r="64" spans="2:11" s="69" customFormat="1" ht="15">
      <c r="B64" s="69" t="s">
        <v>244</v>
      </c>
      <c r="C64" s="82"/>
      <c r="D64" s="82"/>
      <c r="E64" s="82"/>
      <c r="F64" s="82"/>
      <c r="G64" s="82"/>
      <c r="H64" s="82"/>
      <c r="I64" s="82"/>
      <c r="J64" s="82"/>
      <c r="K64" s="82"/>
    </row>
    <row r="65" spans="2:11" s="69" customFormat="1" ht="15">
      <c r="B65" s="75"/>
      <c r="C65" s="82"/>
      <c r="D65" s="82"/>
      <c r="E65" s="82"/>
      <c r="F65" s="82"/>
      <c r="G65" s="82"/>
      <c r="H65" s="82"/>
      <c r="I65" s="82"/>
      <c r="J65" s="82"/>
      <c r="K65" s="82"/>
    </row>
    <row r="66" spans="1:9" s="69" customFormat="1" ht="15">
      <c r="A66" s="81" t="s">
        <v>127</v>
      </c>
      <c r="B66" s="69" t="s">
        <v>131</v>
      </c>
      <c r="C66" s="83"/>
      <c r="D66" s="83"/>
      <c r="E66" s="83"/>
      <c r="F66" s="83"/>
      <c r="G66" s="83"/>
      <c r="H66" s="83"/>
      <c r="I66" s="83"/>
    </row>
    <row r="67" spans="2:9" s="69" customFormat="1" ht="15">
      <c r="B67" s="84" t="s">
        <v>258</v>
      </c>
      <c r="C67" s="83"/>
      <c r="D67" s="83"/>
      <c r="E67" s="83"/>
      <c r="F67" s="83"/>
      <c r="G67" s="83"/>
      <c r="H67" s="83"/>
      <c r="I67" s="83"/>
    </row>
    <row r="68" spans="2:9" ht="12.75">
      <c r="B68" s="38"/>
      <c r="C68" s="11"/>
      <c r="D68" s="38"/>
      <c r="E68" s="38"/>
      <c r="F68" s="38"/>
      <c r="G68" s="38"/>
      <c r="H68" s="38"/>
      <c r="I68" s="38"/>
    </row>
    <row r="72" ht="12.75">
      <c r="C72" s="131"/>
    </row>
  </sheetData>
  <sheetProtection/>
  <mergeCells count="2">
    <mergeCell ref="B1:H1"/>
    <mergeCell ref="B60:B61"/>
  </mergeCells>
  <printOptions gridLines="1"/>
  <pageMargins left="0.36" right="0.17" top="0.3" bottom="0.2" header="0.22" footer="0.1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9"/>
  <sheetViews>
    <sheetView zoomScalePageLayoutView="0" workbookViewId="0" topLeftCell="A7">
      <selection activeCell="D15" sqref="D15"/>
    </sheetView>
  </sheetViews>
  <sheetFormatPr defaultColWidth="9.140625" defaultRowHeight="12.75"/>
  <cols>
    <col min="1" max="1" width="3.140625" style="90" customWidth="1"/>
    <col min="2" max="2" width="43.57421875" style="90" customWidth="1"/>
    <col min="3" max="6" width="18.7109375" style="90" customWidth="1"/>
    <col min="7" max="7" width="22.7109375" style="90" customWidth="1"/>
    <col min="8" max="8" width="18.7109375" style="90" customWidth="1"/>
    <col min="9" max="16384" width="9.140625" style="90" customWidth="1"/>
  </cols>
  <sheetData>
    <row r="1" ht="20.25">
      <c r="B1" s="89" t="str">
        <f>+'Income statement'!B1</f>
        <v>HANDAL RESOURCES  BERHAD (816839-X)</v>
      </c>
    </row>
    <row r="2" ht="15" customHeight="1"/>
    <row r="3" s="92" customFormat="1" ht="15">
      <c r="B3" s="91" t="s">
        <v>86</v>
      </c>
    </row>
    <row r="4" s="92" customFormat="1" ht="15" customHeight="1">
      <c r="B4" s="16" t="s">
        <v>259</v>
      </c>
    </row>
    <row r="5" s="92" customFormat="1" ht="15">
      <c r="B5" s="91"/>
    </row>
    <row r="6" s="92" customFormat="1" ht="15.75" thickBot="1">
      <c r="B6" s="91"/>
    </row>
    <row r="7" spans="3:8" s="92" customFormat="1" ht="20.25" customHeight="1" thickBot="1">
      <c r="C7" s="237" t="s">
        <v>122</v>
      </c>
      <c r="D7" s="238"/>
      <c r="E7" s="238"/>
      <c r="F7" s="238"/>
      <c r="G7" s="238"/>
      <c r="H7" s="239"/>
    </row>
    <row r="8" s="92" customFormat="1" ht="12.75" customHeight="1" hidden="1"/>
    <row r="9" s="92" customFormat="1" ht="12.75" customHeight="1" hidden="1"/>
    <row r="10" spans="3:8" s="92" customFormat="1" ht="15" customHeight="1">
      <c r="C10" s="93"/>
      <c r="D10" s="93"/>
      <c r="E10" s="93"/>
      <c r="F10" s="93"/>
      <c r="G10" s="88"/>
      <c r="H10" s="93"/>
    </row>
    <row r="11" spans="3:8" s="92" customFormat="1" ht="15" customHeight="1">
      <c r="C11" s="93"/>
      <c r="D11" s="93"/>
      <c r="E11" s="93"/>
      <c r="F11" s="93"/>
      <c r="G11" s="100"/>
      <c r="H11" s="100"/>
    </row>
    <row r="12" spans="3:8" s="92" customFormat="1" ht="15" customHeight="1">
      <c r="C12" s="93" t="s">
        <v>5</v>
      </c>
      <c r="D12" s="93" t="s">
        <v>10</v>
      </c>
      <c r="E12" s="101" t="s">
        <v>11</v>
      </c>
      <c r="F12" s="93" t="s">
        <v>153</v>
      </c>
      <c r="G12" s="101" t="s">
        <v>215</v>
      </c>
      <c r="H12" s="101" t="s">
        <v>62</v>
      </c>
    </row>
    <row r="13" spans="3:8" s="92" customFormat="1" ht="15" customHeight="1">
      <c r="C13" s="93"/>
      <c r="D13" s="93"/>
      <c r="E13" s="100"/>
      <c r="F13" s="93"/>
      <c r="G13" s="100"/>
      <c r="H13" s="100"/>
    </row>
    <row r="14" spans="3:8" s="92" customFormat="1" ht="15" customHeight="1">
      <c r="C14" s="93" t="s">
        <v>0</v>
      </c>
      <c r="D14" s="93" t="s">
        <v>0</v>
      </c>
      <c r="E14" s="93" t="s">
        <v>0</v>
      </c>
      <c r="F14" s="93" t="s">
        <v>0</v>
      </c>
      <c r="G14" s="93" t="s">
        <v>0</v>
      </c>
      <c r="H14" s="93" t="s">
        <v>3</v>
      </c>
    </row>
    <row r="15" spans="3:8" s="92" customFormat="1" ht="15" customHeight="1">
      <c r="C15" s="93"/>
      <c r="D15" s="93"/>
      <c r="E15" s="93"/>
      <c r="F15" s="93"/>
      <c r="G15" s="93"/>
      <c r="H15" s="93"/>
    </row>
    <row r="16" spans="2:8" s="92" customFormat="1" ht="15" customHeight="1">
      <c r="B16" s="91" t="s">
        <v>245</v>
      </c>
      <c r="C16" s="110">
        <v>45000</v>
      </c>
      <c r="D16" s="110">
        <v>1550</v>
      </c>
      <c r="E16" s="110">
        <f>23836460/1000+1</f>
        <v>23837.46</v>
      </c>
      <c r="F16" s="110">
        <f>SUM(C16:E16)</f>
        <v>70387.45999999999</v>
      </c>
      <c r="G16" s="110">
        <f>3285/1000</f>
        <v>3.285</v>
      </c>
      <c r="H16" s="110">
        <f>SUM(F16:G16)-1</f>
        <v>70389.745</v>
      </c>
    </row>
    <row r="17" spans="2:8" s="92" customFormat="1" ht="15" customHeight="1">
      <c r="B17" s="91"/>
      <c r="C17" s="110"/>
      <c r="D17" s="110"/>
      <c r="E17" s="110"/>
      <c r="F17" s="110"/>
      <c r="G17" s="110"/>
      <c r="H17" s="110"/>
    </row>
    <row r="18" spans="2:8" s="92" customFormat="1" ht="15" customHeight="1">
      <c r="B18" s="92" t="s">
        <v>256</v>
      </c>
      <c r="C18" s="94">
        <v>30000</v>
      </c>
      <c r="D18" s="94">
        <v>270</v>
      </c>
      <c r="E18" s="94">
        <v>0</v>
      </c>
      <c r="F18" s="94">
        <f>SUM(C18:E18)</f>
        <v>30270</v>
      </c>
      <c r="G18" s="94">
        <v>0</v>
      </c>
      <c r="H18" s="110">
        <f>SUM(F18:G18)</f>
        <v>30270</v>
      </c>
    </row>
    <row r="19" spans="2:8" s="92" customFormat="1" ht="15" customHeight="1">
      <c r="B19" s="91"/>
      <c r="C19" s="94"/>
      <c r="D19" s="94"/>
      <c r="E19" s="94"/>
      <c r="F19" s="94"/>
      <c r="G19" s="94"/>
      <c r="H19" s="94"/>
    </row>
    <row r="20" spans="2:8" s="92" customFormat="1" ht="15" customHeight="1">
      <c r="B20" s="92" t="s">
        <v>255</v>
      </c>
      <c r="C20" s="94">
        <v>5000</v>
      </c>
      <c r="D20" s="94">
        <v>-1550</v>
      </c>
      <c r="E20" s="94">
        <v>-3450</v>
      </c>
      <c r="F20" s="94">
        <f>SUM(C20:E20)</f>
        <v>0</v>
      </c>
      <c r="G20" s="94">
        <v>0</v>
      </c>
      <c r="H20" s="110">
        <f>SUM(F20:G20)</f>
        <v>0</v>
      </c>
    </row>
    <row r="21" spans="2:8" s="92" customFormat="1" ht="15" customHeight="1">
      <c r="B21" s="91"/>
      <c r="C21" s="94"/>
      <c r="D21" s="94"/>
      <c r="E21" s="94"/>
      <c r="F21" s="94"/>
      <c r="G21" s="94"/>
      <c r="H21" s="94"/>
    </row>
    <row r="22" spans="2:8" s="92" customFormat="1" ht="15" customHeight="1">
      <c r="B22" s="92" t="s">
        <v>228</v>
      </c>
      <c r="C22" s="94"/>
      <c r="D22" s="94"/>
      <c r="E22" s="94">
        <v>-4800</v>
      </c>
      <c r="F22" s="94">
        <f>SUM(C22:E22)</f>
        <v>-4800</v>
      </c>
      <c r="G22" s="94">
        <v>0</v>
      </c>
      <c r="H22" s="110">
        <f>SUM(F22:G22)</f>
        <v>-4800</v>
      </c>
    </row>
    <row r="23" spans="2:8" s="92" customFormat="1" ht="15" customHeight="1">
      <c r="B23" s="91"/>
      <c r="C23" s="94"/>
      <c r="D23" s="94"/>
      <c r="E23" s="94"/>
      <c r="F23" s="94"/>
      <c r="G23" s="94"/>
      <c r="H23" s="94"/>
    </row>
    <row r="24" spans="2:8" s="92" customFormat="1" ht="15" customHeight="1">
      <c r="B24" s="92" t="s">
        <v>246</v>
      </c>
      <c r="C24" s="94"/>
      <c r="D24" s="227"/>
      <c r="E24" s="227">
        <v>6128</v>
      </c>
      <c r="F24" s="227">
        <f>SUM(C24:E24)</f>
        <v>6128</v>
      </c>
      <c r="G24" s="227">
        <v>-17</v>
      </c>
      <c r="H24" s="249">
        <f>SUM(F24:G24)</f>
        <v>6111</v>
      </c>
    </row>
    <row r="25" spans="3:8" s="92" customFormat="1" ht="15" customHeight="1">
      <c r="C25" s="94"/>
      <c r="D25" s="227"/>
      <c r="E25" s="227"/>
      <c r="F25" s="227"/>
      <c r="G25" s="227"/>
      <c r="H25" s="227"/>
    </row>
    <row r="26" spans="2:9" s="92" customFormat="1" ht="15" customHeight="1" thickBot="1">
      <c r="B26" s="91" t="s">
        <v>263</v>
      </c>
      <c r="C26" s="95">
        <f aca="true" t="shared" si="0" ref="C26:H26">SUM(C16:C25)</f>
        <v>80000</v>
      </c>
      <c r="D26" s="228">
        <f t="shared" si="0"/>
        <v>270</v>
      </c>
      <c r="E26" s="228">
        <f t="shared" si="0"/>
        <v>21715.46</v>
      </c>
      <c r="F26" s="228">
        <f t="shared" si="0"/>
        <v>101985.45999999999</v>
      </c>
      <c r="G26" s="228">
        <f t="shared" si="0"/>
        <v>-13.715</v>
      </c>
      <c r="H26" s="228">
        <f t="shared" si="0"/>
        <v>101970.745</v>
      </c>
      <c r="I26" s="96"/>
    </row>
    <row r="27" spans="3:8" s="92" customFormat="1" ht="15" customHeight="1" thickTop="1">
      <c r="C27" s="97"/>
      <c r="D27" s="229"/>
      <c r="E27" s="229"/>
      <c r="F27" s="229"/>
      <c r="G27" s="229"/>
      <c r="H27" s="229"/>
    </row>
    <row r="28" spans="3:14" s="92" customFormat="1" ht="15" customHeight="1">
      <c r="C28" s="97"/>
      <c r="D28" s="97"/>
      <c r="E28" s="97"/>
      <c r="F28" s="97"/>
      <c r="G28" s="97"/>
      <c r="N28" s="97"/>
    </row>
    <row r="29" spans="2:14" s="92" customFormat="1" ht="15" customHeight="1" hidden="1">
      <c r="B29" s="92" t="s">
        <v>119</v>
      </c>
      <c r="C29" s="97"/>
      <c r="D29" s="97"/>
      <c r="E29" s="97"/>
      <c r="F29" s="97"/>
      <c r="G29" s="97"/>
      <c r="I29" s="98"/>
      <c r="J29" s="98"/>
      <c r="K29" s="98"/>
      <c r="M29" s="98"/>
      <c r="N29" s="97"/>
    </row>
    <row r="30" spans="2:13" s="92" customFormat="1" ht="15" customHeight="1" hidden="1">
      <c r="B30" s="98"/>
      <c r="C30" s="97"/>
      <c r="D30" s="97"/>
      <c r="E30" s="97"/>
      <c r="F30" s="97"/>
      <c r="G30" s="97"/>
      <c r="H30" s="97"/>
      <c r="I30" s="98"/>
      <c r="J30" s="98"/>
      <c r="K30" s="98"/>
      <c r="L30" s="98"/>
      <c r="M30" s="98"/>
    </row>
    <row r="31" spans="2:7" ht="12.75" hidden="1">
      <c r="B31" s="99"/>
      <c r="C31" s="99"/>
      <c r="D31" s="99"/>
      <c r="E31" s="99"/>
      <c r="F31" s="99"/>
      <c r="G31" s="99"/>
    </row>
    <row r="32" spans="2:7" ht="12.75" hidden="1">
      <c r="B32" s="127" t="s">
        <v>149</v>
      </c>
      <c r="C32" s="99"/>
      <c r="D32" s="99"/>
      <c r="E32" s="99"/>
      <c r="F32" s="99"/>
      <c r="G32" s="99"/>
    </row>
    <row r="33" spans="2:7" ht="14.25" hidden="1">
      <c r="B33" s="125" t="s">
        <v>152</v>
      </c>
      <c r="C33" s="126"/>
      <c r="D33" s="126"/>
      <c r="E33" s="126"/>
      <c r="F33" s="126"/>
      <c r="G33" s="126"/>
    </row>
    <row r="34" spans="2:7" ht="14.25" hidden="1">
      <c r="B34" s="92" t="s">
        <v>150</v>
      </c>
      <c r="C34" s="92"/>
      <c r="D34" s="92"/>
      <c r="E34" s="92"/>
      <c r="F34" s="92"/>
      <c r="G34" s="92"/>
    </row>
    <row r="35" spans="2:7" ht="14.25">
      <c r="B35" s="92"/>
      <c r="C35" s="92"/>
      <c r="D35" s="92"/>
      <c r="E35" s="92"/>
      <c r="F35" s="92"/>
      <c r="G35" s="92"/>
    </row>
    <row r="36" spans="2:7" ht="14.25">
      <c r="B36" s="92" t="s">
        <v>226</v>
      </c>
      <c r="C36" s="92"/>
      <c r="D36" s="92"/>
      <c r="E36" s="92"/>
      <c r="F36" s="92"/>
      <c r="G36" s="92"/>
    </row>
    <row r="37" spans="2:7" ht="14.25">
      <c r="B37" s="92" t="s">
        <v>244</v>
      </c>
      <c r="C37" s="92"/>
      <c r="D37" s="92"/>
      <c r="E37" s="92"/>
      <c r="F37" s="92"/>
      <c r="G37" s="92"/>
    </row>
    <row r="38" ht="14.25">
      <c r="B38" s="98" t="s">
        <v>99</v>
      </c>
    </row>
    <row r="39" ht="14.25">
      <c r="B39" s="92"/>
    </row>
  </sheetData>
  <sheetProtection/>
  <mergeCells count="1">
    <mergeCell ref="C7:H7"/>
  </mergeCells>
  <printOptions gridLines="1"/>
  <pageMargins left="0.24" right="0.17" top="0.58" bottom="0.17" header="0.29" footer="0.1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zoomScalePageLayoutView="0" workbookViewId="0" topLeftCell="A59">
      <selection activeCell="C78" sqref="C78"/>
    </sheetView>
  </sheetViews>
  <sheetFormatPr defaultColWidth="9.140625" defaultRowHeight="12.75"/>
  <cols>
    <col min="1" max="1" width="55.00390625" style="0" customWidth="1"/>
    <col min="2" max="2" width="5.7109375" style="0" customWidth="1"/>
    <col min="3" max="3" width="6.8515625" style="0" customWidth="1"/>
    <col min="4" max="4" width="16.8515625" style="0" customWidth="1"/>
    <col min="5" max="5" width="3.8515625" style="0" customWidth="1"/>
    <col min="6" max="6" width="17.7109375" style="0" customWidth="1"/>
    <col min="9" max="9" width="13.421875" style="0" customWidth="1"/>
  </cols>
  <sheetData>
    <row r="1" ht="20.25">
      <c r="A1" s="6" t="str">
        <f>+'Income statement'!B1</f>
        <v>HANDAL RESOURCES  BERHAD (816839-X)</v>
      </c>
    </row>
    <row r="3" spans="1:6" ht="12.75">
      <c r="A3" s="2" t="s">
        <v>87</v>
      </c>
      <c r="B3" s="12"/>
      <c r="C3" s="12"/>
      <c r="D3" s="12"/>
      <c r="E3" s="12"/>
      <c r="F3" s="12"/>
    </row>
    <row r="4" spans="1:6" ht="15" customHeight="1">
      <c r="A4" s="2" t="s">
        <v>84</v>
      </c>
      <c r="B4" s="12"/>
      <c r="C4" s="12"/>
      <c r="D4" s="39"/>
      <c r="E4" s="39"/>
      <c r="F4" s="39"/>
    </row>
    <row r="5" spans="1:6" ht="15" customHeight="1">
      <c r="A5" s="2"/>
      <c r="B5" s="12"/>
      <c r="C5" s="12"/>
      <c r="D5" s="2"/>
      <c r="E5" s="12"/>
      <c r="F5" s="5" t="s">
        <v>25</v>
      </c>
    </row>
    <row r="6" spans="1:6" ht="15" customHeight="1">
      <c r="A6" s="2"/>
      <c r="B6" s="12"/>
      <c r="C6" s="12"/>
      <c r="D6" s="5" t="s">
        <v>13</v>
      </c>
      <c r="E6" s="12"/>
      <c r="F6" s="5" t="s">
        <v>26</v>
      </c>
    </row>
    <row r="7" spans="1:6" ht="15" customHeight="1">
      <c r="A7" s="2"/>
      <c r="B7" s="12"/>
      <c r="C7" s="12"/>
      <c r="D7" s="5" t="s">
        <v>12</v>
      </c>
      <c r="E7" s="12"/>
      <c r="F7" s="5" t="s">
        <v>98</v>
      </c>
    </row>
    <row r="8" spans="1:6" ht="15" customHeight="1">
      <c r="A8" s="2"/>
      <c r="B8" s="12"/>
      <c r="C8" s="12"/>
      <c r="D8" s="5" t="str">
        <f>'Income statement'!J12</f>
        <v>30 September 2011</v>
      </c>
      <c r="E8" s="12"/>
      <c r="F8" s="5" t="str">
        <f>'Income statement'!K12</f>
        <v>30 September 2010</v>
      </c>
    </row>
    <row r="9" spans="1:6" ht="15" customHeight="1">
      <c r="A9" s="2"/>
      <c r="B9" s="12"/>
      <c r="C9" s="12"/>
      <c r="D9" s="5" t="s">
        <v>3</v>
      </c>
      <c r="E9" s="12"/>
      <c r="F9" s="5" t="s">
        <v>3</v>
      </c>
    </row>
    <row r="10" spans="1:6" ht="15" customHeight="1">
      <c r="A10" s="2"/>
      <c r="B10" s="12"/>
      <c r="C10" s="12"/>
      <c r="D10" s="16"/>
      <c r="E10" s="16"/>
      <c r="F10" s="17"/>
    </row>
    <row r="11" spans="1:6" ht="15" customHeight="1">
      <c r="A11" s="18"/>
      <c r="B11" s="19"/>
      <c r="C11" s="17"/>
      <c r="D11" s="17"/>
      <c r="E11" s="17"/>
      <c r="F11" s="17"/>
    </row>
    <row r="12" spans="1:6" ht="12.75" customHeight="1">
      <c r="A12" s="15" t="s">
        <v>63</v>
      </c>
      <c r="B12" s="15"/>
      <c r="C12" s="15"/>
      <c r="D12" s="15"/>
      <c r="E12" s="15"/>
      <c r="F12" s="19"/>
    </row>
    <row r="13" spans="1:6" ht="14.25">
      <c r="A13" s="20" t="s">
        <v>2</v>
      </c>
      <c r="B13" s="19"/>
      <c r="C13" s="19"/>
      <c r="D13" s="21">
        <f>'[1]cashflow.'!$D$8</f>
        <v>3491.3136340504434</v>
      </c>
      <c r="E13" s="21"/>
      <c r="F13" s="29" t="s">
        <v>24</v>
      </c>
    </row>
    <row r="14" spans="1:6" ht="14.25">
      <c r="A14" s="20"/>
      <c r="B14" s="19"/>
      <c r="C14" s="19"/>
      <c r="D14" s="21"/>
      <c r="E14" s="21"/>
      <c r="F14" s="29"/>
    </row>
    <row r="15" spans="1:6" ht="15">
      <c r="A15" s="15" t="s">
        <v>7</v>
      </c>
      <c r="B15" s="19"/>
      <c r="C15" s="19"/>
      <c r="D15" s="21"/>
      <c r="E15" s="21"/>
      <c r="F15" s="29"/>
    </row>
    <row r="16" spans="1:6" ht="14.25" customHeight="1">
      <c r="A16" s="40" t="s">
        <v>65</v>
      </c>
      <c r="B16" s="19"/>
      <c r="C16" s="19"/>
      <c r="D16" s="21">
        <f>'[1]cashflow.'!D12</f>
        <v>363.5</v>
      </c>
      <c r="E16" s="21"/>
      <c r="F16" s="29" t="s">
        <v>24</v>
      </c>
    </row>
    <row r="17" spans="1:6" ht="14.25">
      <c r="A17" s="40" t="s">
        <v>64</v>
      </c>
      <c r="B17" s="19"/>
      <c r="C17" s="19"/>
      <c r="D17" s="21">
        <f>'[1]cashflow.'!D13</f>
        <v>265</v>
      </c>
      <c r="E17" s="21"/>
      <c r="F17" s="29" t="s">
        <v>24</v>
      </c>
    </row>
    <row r="18" spans="1:6" ht="14.25">
      <c r="A18" s="40" t="s">
        <v>66</v>
      </c>
      <c r="B18" s="19"/>
      <c r="C18" s="19"/>
      <c r="D18" s="21">
        <f>'[1]cashflow.'!D14</f>
        <v>7.4</v>
      </c>
      <c r="E18" s="21"/>
      <c r="F18" s="29" t="s">
        <v>24</v>
      </c>
    </row>
    <row r="19" spans="1:6" ht="15.75" customHeight="1">
      <c r="A19" s="40" t="s">
        <v>68</v>
      </c>
      <c r="B19" s="19"/>
      <c r="C19" s="19"/>
      <c r="D19" s="21">
        <f>'[1]cashflow.'!D15</f>
        <v>0</v>
      </c>
      <c r="E19" s="21"/>
      <c r="F19" s="29" t="s">
        <v>24</v>
      </c>
    </row>
    <row r="20" spans="1:6" ht="14.25">
      <c r="A20" s="40" t="s">
        <v>67</v>
      </c>
      <c r="B20" s="19"/>
      <c r="C20" s="19"/>
      <c r="D20" s="21">
        <f>'[1]cashflow.'!D16</f>
        <v>-97</v>
      </c>
      <c r="E20" s="21"/>
      <c r="F20" s="29" t="s">
        <v>24</v>
      </c>
    </row>
    <row r="21" spans="1:6" ht="15" customHeight="1" thickBot="1">
      <c r="A21" s="40" t="s">
        <v>102</v>
      </c>
      <c r="B21" s="20"/>
      <c r="C21" s="19"/>
      <c r="D21" s="21">
        <f>'[1]cashflow.'!D17</f>
        <v>-1123.228034050444</v>
      </c>
      <c r="E21" s="28"/>
      <c r="F21" s="30" t="s">
        <v>24</v>
      </c>
    </row>
    <row r="22" spans="1:6" ht="14.25">
      <c r="A22" s="20"/>
      <c r="B22" s="19"/>
      <c r="C22" s="19"/>
      <c r="D22" s="23"/>
      <c r="E22" s="28"/>
      <c r="F22" s="29"/>
    </row>
    <row r="23" spans="1:6" ht="15.75" customHeight="1">
      <c r="A23" s="15" t="s">
        <v>8</v>
      </c>
      <c r="B23" s="19"/>
      <c r="C23" s="19"/>
      <c r="D23" s="49">
        <f>SUM(D13:D21)</f>
        <v>2906.985599999999</v>
      </c>
      <c r="E23" s="21"/>
      <c r="F23" s="29" t="s">
        <v>24</v>
      </c>
    </row>
    <row r="24" spans="1:11" ht="14.25">
      <c r="A24" s="24"/>
      <c r="B24" s="24"/>
      <c r="C24" s="24"/>
      <c r="D24" s="21"/>
      <c r="E24" s="21"/>
      <c r="F24" s="29"/>
      <c r="G24" s="19"/>
      <c r="H24" s="19"/>
      <c r="I24" s="19"/>
      <c r="J24" s="19"/>
      <c r="K24" s="19"/>
    </row>
    <row r="25" spans="1:8" ht="14.25" customHeight="1" hidden="1">
      <c r="A25" s="41" t="s">
        <v>88</v>
      </c>
      <c r="B25" s="24"/>
      <c r="C25" s="24"/>
      <c r="D25" s="21">
        <f>'[1]cashflow.'!D22</f>
        <v>0</v>
      </c>
      <c r="E25" s="21"/>
      <c r="F25" s="29" t="s">
        <v>24</v>
      </c>
      <c r="G25" s="19"/>
      <c r="H25" s="19"/>
    </row>
    <row r="26" spans="1:8" ht="14.25" customHeight="1">
      <c r="A26" s="41" t="s">
        <v>89</v>
      </c>
      <c r="B26" s="24"/>
      <c r="C26" s="24"/>
      <c r="D26" s="21">
        <f>'[1]cashflow.'!D23</f>
        <v>-867.4733900000028</v>
      </c>
      <c r="E26" s="21"/>
      <c r="F26" s="29" t="s">
        <v>24</v>
      </c>
      <c r="G26" s="19"/>
      <c r="H26" s="19"/>
    </row>
    <row r="27" spans="1:8" ht="14.25" customHeight="1">
      <c r="A27" s="41" t="s">
        <v>103</v>
      </c>
      <c r="B27" s="24"/>
      <c r="C27" s="24"/>
      <c r="D27" s="21">
        <f>'[1]cashflow.'!D24</f>
        <v>78.74748</v>
      </c>
      <c r="E27" s="21"/>
      <c r="F27" s="29" t="s">
        <v>24</v>
      </c>
      <c r="G27" s="19"/>
      <c r="H27" s="19"/>
    </row>
    <row r="28" spans="1:8" ht="14.25" customHeight="1">
      <c r="A28" s="41" t="s">
        <v>104</v>
      </c>
      <c r="B28" s="20"/>
      <c r="C28" s="20"/>
      <c r="D28" s="21">
        <f>'[1]cashflow.'!D25</f>
        <v>669.1108099999999</v>
      </c>
      <c r="E28" s="21"/>
      <c r="F28" s="29" t="s">
        <v>24</v>
      </c>
      <c r="G28" s="19"/>
      <c r="H28" s="19"/>
    </row>
    <row r="29" spans="1:8" ht="14.25" customHeight="1">
      <c r="A29" s="41" t="s">
        <v>69</v>
      </c>
      <c r="B29" s="20"/>
      <c r="C29" s="20"/>
      <c r="D29" s="21">
        <f>'[1]cashflow.'!D26</f>
        <v>1842.1404200000015</v>
      </c>
      <c r="E29" s="21"/>
      <c r="F29" s="29" t="s">
        <v>24</v>
      </c>
      <c r="G29" s="19"/>
      <c r="H29" s="19"/>
    </row>
    <row r="30" spans="1:8" ht="15" thickBot="1">
      <c r="A30" s="40" t="s">
        <v>97</v>
      </c>
      <c r="B30" s="20"/>
      <c r="C30" s="20"/>
      <c r="D30" s="22">
        <f>'[1]cashflow.'!D27</f>
        <v>-2514.1371799999997</v>
      </c>
      <c r="E30" s="28"/>
      <c r="F30" s="30" t="s">
        <v>24</v>
      </c>
      <c r="G30" s="19"/>
      <c r="H30" s="19"/>
    </row>
    <row r="31" spans="1:8" ht="14.25">
      <c r="A31" s="24"/>
      <c r="B31" s="24"/>
      <c r="C31" s="24"/>
      <c r="D31" s="21"/>
      <c r="E31" s="21"/>
      <c r="F31" s="29"/>
      <c r="G31" s="19"/>
      <c r="H31" s="19"/>
    </row>
    <row r="32" spans="1:8" ht="14.25" customHeight="1">
      <c r="A32" s="15" t="s">
        <v>105</v>
      </c>
      <c r="B32" s="20"/>
      <c r="C32" s="20"/>
      <c r="D32" s="49">
        <f>SUM(D23:D30)</f>
        <v>2115.373739999998</v>
      </c>
      <c r="E32" s="21"/>
      <c r="F32" s="29">
        <f>SUM(F23:F30)</f>
        <v>0</v>
      </c>
      <c r="G32" s="19"/>
      <c r="H32" s="19"/>
    </row>
    <row r="33" spans="1:8" ht="14.25">
      <c r="A33" s="24"/>
      <c r="B33" s="24"/>
      <c r="C33" s="24"/>
      <c r="D33" s="21"/>
      <c r="E33" s="21"/>
      <c r="F33" s="29"/>
      <c r="G33" s="19"/>
      <c r="H33" s="19"/>
    </row>
    <row r="34" spans="1:8" ht="14.25" customHeight="1">
      <c r="A34" s="18" t="s">
        <v>9</v>
      </c>
      <c r="B34" s="18"/>
      <c r="C34" s="18"/>
      <c r="D34" s="21">
        <f>'[1]cashflow.'!D31</f>
        <v>-363.5</v>
      </c>
      <c r="E34" s="21"/>
      <c r="F34" s="29" t="s">
        <v>24</v>
      </c>
      <c r="G34" s="19"/>
      <c r="H34" s="19"/>
    </row>
    <row r="35" spans="1:8" ht="14.25">
      <c r="A35" s="18" t="s">
        <v>70</v>
      </c>
      <c r="B35" s="18"/>
      <c r="C35" s="18"/>
      <c r="D35" s="21">
        <f>'[1]cashflow.'!D32</f>
        <v>-552.8730440504394</v>
      </c>
      <c r="E35" s="28"/>
      <c r="F35" s="29" t="s">
        <v>24</v>
      </c>
      <c r="G35" s="19"/>
      <c r="H35" s="19"/>
    </row>
    <row r="36" spans="1:8" ht="15" thickBot="1">
      <c r="A36" s="18"/>
      <c r="B36" s="18"/>
      <c r="C36" s="18"/>
      <c r="D36" s="22"/>
      <c r="E36" s="21"/>
      <c r="F36" s="30"/>
      <c r="G36" s="19"/>
      <c r="H36" s="19"/>
    </row>
    <row r="37" spans="1:8" ht="15.75" thickBot="1">
      <c r="A37" s="25" t="s">
        <v>44</v>
      </c>
      <c r="B37" s="18"/>
      <c r="C37" s="18"/>
      <c r="D37" s="50">
        <f>SUM(D32:D35)</f>
        <v>1199.0006959495588</v>
      </c>
      <c r="E37" s="28"/>
      <c r="F37" s="30">
        <f>SUM(F32:F35)</f>
        <v>0</v>
      </c>
      <c r="G37" s="19"/>
      <c r="H37" s="19"/>
    </row>
    <row r="38" spans="1:8" ht="14.25">
      <c r="A38" s="18"/>
      <c r="B38" s="18"/>
      <c r="C38" s="18"/>
      <c r="D38" s="32"/>
      <c r="E38" s="32"/>
      <c r="F38" s="32"/>
      <c r="G38" s="19"/>
      <c r="H38" s="19"/>
    </row>
    <row r="39" spans="1:8" ht="14.25">
      <c r="A39" s="18"/>
      <c r="B39" s="19"/>
      <c r="C39" s="19"/>
      <c r="D39" s="21"/>
      <c r="E39" s="21"/>
      <c r="F39" s="29"/>
      <c r="G39" s="19"/>
      <c r="H39" s="19"/>
    </row>
    <row r="40" spans="1:8" ht="15" customHeight="1">
      <c r="A40" s="25" t="s">
        <v>71</v>
      </c>
      <c r="B40" s="25"/>
      <c r="C40" s="25"/>
      <c r="D40" s="21"/>
      <c r="E40" s="21"/>
      <c r="F40" s="29"/>
      <c r="G40" s="25"/>
      <c r="H40" s="19"/>
    </row>
    <row r="41" spans="1:8" ht="15" customHeight="1">
      <c r="A41" s="18" t="s">
        <v>106</v>
      </c>
      <c r="B41" s="25"/>
      <c r="C41" s="25"/>
      <c r="D41" s="21">
        <f>'[1]cashflow.'!$D$37</f>
        <v>15849.791570000001</v>
      </c>
      <c r="E41" s="21"/>
      <c r="F41" s="29" t="s">
        <v>24</v>
      </c>
      <c r="G41" s="25"/>
      <c r="H41" s="19"/>
    </row>
    <row r="42" spans="1:8" ht="14.25">
      <c r="A42" s="42" t="s">
        <v>72</v>
      </c>
      <c r="B42" s="18"/>
      <c r="C42" s="18"/>
      <c r="D42" s="21">
        <f>'[1]cashflow.'!D38</f>
        <v>97</v>
      </c>
      <c r="E42" s="21"/>
      <c r="F42" s="29" t="s">
        <v>24</v>
      </c>
      <c r="G42" s="19"/>
      <c r="H42" s="19"/>
    </row>
    <row r="43" spans="1:8" ht="14.25">
      <c r="A43" s="42" t="s">
        <v>90</v>
      </c>
      <c r="B43" s="19"/>
      <c r="C43" s="19"/>
      <c r="D43" s="21">
        <f>'[1]cashflow.'!D39</f>
        <v>0</v>
      </c>
      <c r="E43" s="21"/>
      <c r="F43" s="29" t="s">
        <v>24</v>
      </c>
      <c r="G43" s="19"/>
      <c r="H43" s="19"/>
    </row>
    <row r="44" spans="1:8" ht="14.25">
      <c r="A44" s="42" t="s">
        <v>73</v>
      </c>
      <c r="B44" s="19"/>
      <c r="C44" s="19"/>
      <c r="D44" s="21">
        <f>'[1]cashflow.'!D40</f>
        <v>-1047.900669999999</v>
      </c>
      <c r="E44" s="21"/>
      <c r="F44" s="29" t="s">
        <v>24</v>
      </c>
      <c r="G44" s="19"/>
      <c r="H44" s="19"/>
    </row>
    <row r="45" spans="1:8" ht="14.25">
      <c r="A45" s="42"/>
      <c r="B45" s="19"/>
      <c r="C45" s="19"/>
      <c r="D45" s="21"/>
      <c r="E45" s="28"/>
      <c r="F45" s="29"/>
      <c r="G45" s="19"/>
      <c r="H45" s="19"/>
    </row>
    <row r="46" spans="1:8" ht="14.25">
      <c r="A46" s="18"/>
      <c r="B46" s="19"/>
      <c r="C46" s="19"/>
      <c r="D46" s="28"/>
      <c r="E46" s="28"/>
      <c r="F46" s="31"/>
      <c r="G46" s="19"/>
      <c r="H46" s="19"/>
    </row>
    <row r="47" spans="1:9" ht="14.25">
      <c r="A47" s="18" t="s">
        <v>74</v>
      </c>
      <c r="B47" s="18"/>
      <c r="C47" s="18"/>
      <c r="D47" s="34">
        <f>SUM(D41:D46)</f>
        <v>14898.890900000002</v>
      </c>
      <c r="E47" s="28"/>
      <c r="F47" s="35" t="s">
        <v>24</v>
      </c>
      <c r="G47" s="18"/>
      <c r="H47" s="19"/>
      <c r="I47" s="52"/>
    </row>
    <row r="48" spans="1:8" ht="14.25">
      <c r="A48" s="24"/>
      <c r="B48" s="19"/>
      <c r="C48" s="19"/>
      <c r="D48" s="21"/>
      <c r="E48" s="21"/>
      <c r="F48" s="29"/>
      <c r="G48" s="19"/>
      <c r="H48" s="19"/>
    </row>
    <row r="49" spans="1:8" ht="15" customHeight="1">
      <c r="A49" s="25" t="s">
        <v>75</v>
      </c>
      <c r="B49" s="25"/>
      <c r="C49" s="25"/>
      <c r="D49" s="21"/>
      <c r="E49" s="21"/>
      <c r="F49" s="29"/>
      <c r="G49" s="18"/>
      <c r="H49" s="18"/>
    </row>
    <row r="50" spans="1:8" ht="14.25" customHeight="1">
      <c r="A50" s="41" t="s">
        <v>107</v>
      </c>
      <c r="B50" s="18"/>
      <c r="C50" s="18"/>
      <c r="D50" s="21">
        <f>'[1]cashflow.'!D46</f>
        <v>-978</v>
      </c>
      <c r="E50" s="21"/>
      <c r="F50" s="29" t="s">
        <v>24</v>
      </c>
      <c r="G50" s="19"/>
      <c r="H50" s="19"/>
    </row>
    <row r="51" spans="1:8" ht="14.25" customHeight="1">
      <c r="A51" s="43" t="s">
        <v>76</v>
      </c>
      <c r="B51" s="18"/>
      <c r="C51" s="18"/>
      <c r="D51" s="21">
        <f>'[1]cashflow.'!D47</f>
        <v>-2</v>
      </c>
      <c r="E51" s="21"/>
      <c r="F51" s="29" t="s">
        <v>24</v>
      </c>
      <c r="G51" s="19"/>
      <c r="H51" s="19"/>
    </row>
    <row r="52" spans="1:8" ht="14.25" customHeight="1">
      <c r="A52" s="43" t="s">
        <v>91</v>
      </c>
      <c r="B52" s="18"/>
      <c r="C52" s="18"/>
      <c r="D52" s="21">
        <f>'[1]cashflow.'!D48</f>
        <v>-4.5</v>
      </c>
      <c r="E52" s="21"/>
      <c r="F52" s="29" t="s">
        <v>24</v>
      </c>
      <c r="G52" s="19"/>
      <c r="H52" s="19"/>
    </row>
    <row r="53" spans="1:8" ht="14.25" customHeight="1">
      <c r="A53" s="43" t="s">
        <v>77</v>
      </c>
      <c r="B53" s="18"/>
      <c r="C53" s="18"/>
      <c r="D53" s="21">
        <f>'[1]cashflow.'!D49</f>
        <v>-13.609679999999997</v>
      </c>
      <c r="E53" s="21"/>
      <c r="F53" s="29" t="s">
        <v>24</v>
      </c>
      <c r="G53" s="19"/>
      <c r="H53" s="19"/>
    </row>
    <row r="54" spans="1:8" ht="14.25" customHeight="1">
      <c r="A54" s="44" t="s">
        <v>92</v>
      </c>
      <c r="B54" s="18"/>
      <c r="C54" s="18"/>
      <c r="D54" s="21">
        <f>'[1]cashflow.'!D50</f>
        <v>-36</v>
      </c>
      <c r="E54" s="21"/>
      <c r="F54" s="29" t="s">
        <v>24</v>
      </c>
      <c r="G54" s="19"/>
      <c r="H54" s="19"/>
    </row>
    <row r="55" spans="1:8" ht="14.25" customHeight="1">
      <c r="A55" s="44"/>
      <c r="B55" s="18"/>
      <c r="C55" s="18"/>
      <c r="D55" s="21"/>
      <c r="E55" s="21"/>
      <c r="F55" s="29"/>
      <c r="G55" s="19"/>
      <c r="H55" s="19"/>
    </row>
    <row r="56" spans="1:8" ht="14.25" customHeight="1">
      <c r="A56" s="44" t="s">
        <v>108</v>
      </c>
      <c r="B56" s="18"/>
      <c r="C56" s="18"/>
      <c r="D56" s="21">
        <f>'[1]cashflow.'!D52</f>
        <v>-637.5</v>
      </c>
      <c r="E56" s="28"/>
      <c r="F56" s="29" t="s">
        <v>24</v>
      </c>
      <c r="G56" s="19"/>
      <c r="H56" s="19"/>
    </row>
    <row r="57" spans="1:8" ht="14.25">
      <c r="A57" s="45"/>
      <c r="B57" s="18"/>
      <c r="C57" s="18"/>
      <c r="D57" s="21"/>
      <c r="E57" s="28"/>
      <c r="F57" s="29"/>
      <c r="G57" s="19"/>
      <c r="H57" s="19"/>
    </row>
    <row r="58" spans="1:8" ht="14.25">
      <c r="A58" s="18"/>
      <c r="B58" s="18"/>
      <c r="C58" s="18"/>
      <c r="D58" s="21"/>
      <c r="E58" s="28"/>
      <c r="F58" s="29"/>
      <c r="G58" s="19"/>
      <c r="H58" s="19"/>
    </row>
    <row r="59" spans="1:8" ht="18" customHeight="1" thickBot="1">
      <c r="A59" s="37" t="s">
        <v>109</v>
      </c>
      <c r="B59" s="20"/>
      <c r="C59" s="20"/>
      <c r="D59" s="26">
        <f>SUM(D50:D58)</f>
        <v>-1671.60968</v>
      </c>
      <c r="E59" s="28"/>
      <c r="F59" s="30" t="s">
        <v>24</v>
      </c>
      <c r="G59" s="19"/>
      <c r="H59" s="19"/>
    </row>
    <row r="60" spans="1:8" ht="14.25">
      <c r="A60" s="18"/>
      <c r="B60" s="18"/>
      <c r="C60" s="18"/>
      <c r="D60" s="32"/>
      <c r="E60" s="28"/>
      <c r="F60" s="32"/>
      <c r="G60" s="19"/>
      <c r="H60" s="19"/>
    </row>
    <row r="61" spans="1:8" ht="14.25">
      <c r="A61" s="18"/>
      <c r="B61" s="18"/>
      <c r="C61" s="18"/>
      <c r="D61" s="21"/>
      <c r="E61" s="28"/>
      <c r="F61" s="29"/>
      <c r="G61" s="19"/>
      <c r="H61" s="19"/>
    </row>
    <row r="62" spans="1:8" ht="14.25" customHeight="1">
      <c r="A62" s="25" t="s">
        <v>110</v>
      </c>
      <c r="B62" s="18"/>
      <c r="C62" s="18"/>
      <c r="D62" s="21">
        <f>D59+D47+D37</f>
        <v>14426.281915949561</v>
      </c>
      <c r="E62" s="28"/>
      <c r="F62" s="29" t="s">
        <v>24</v>
      </c>
      <c r="G62" s="18"/>
      <c r="H62" s="19"/>
    </row>
    <row r="63" spans="1:8" ht="14.25">
      <c r="A63" s="20"/>
      <c r="B63" s="19"/>
      <c r="C63" s="19"/>
      <c r="D63" s="21"/>
      <c r="E63" s="28"/>
      <c r="F63" s="29"/>
      <c r="G63" s="19"/>
      <c r="H63" s="19"/>
    </row>
    <row r="64" spans="1:8" ht="14.25" customHeight="1" thickBot="1">
      <c r="A64" s="240" t="s">
        <v>100</v>
      </c>
      <c r="B64" s="20"/>
      <c r="C64" s="20"/>
      <c r="D64" s="22">
        <f>'[1]cashflow.'!$D$58</f>
        <v>0.002</v>
      </c>
      <c r="E64" s="28"/>
      <c r="F64" s="30" t="s">
        <v>24</v>
      </c>
      <c r="G64" s="19"/>
      <c r="H64" s="19"/>
    </row>
    <row r="65" spans="1:8" ht="14.25">
      <c r="A65" s="240"/>
      <c r="B65" s="20"/>
      <c r="C65" s="20"/>
      <c r="D65" s="32"/>
      <c r="E65" s="28"/>
      <c r="F65" s="32"/>
      <c r="G65" s="19"/>
      <c r="H65" s="19"/>
    </row>
    <row r="66" spans="1:8" ht="15">
      <c r="A66" s="36"/>
      <c r="B66" s="20"/>
      <c r="C66" s="20"/>
      <c r="D66" s="32"/>
      <c r="E66" s="28"/>
      <c r="F66" s="32"/>
      <c r="G66" s="19"/>
      <c r="H66" s="19"/>
    </row>
    <row r="67" spans="1:8" ht="15" thickBot="1">
      <c r="A67" s="240" t="s">
        <v>101</v>
      </c>
      <c r="B67" s="20"/>
      <c r="C67" s="19"/>
      <c r="D67" s="27">
        <f>D64+D62</f>
        <v>14426.283915949562</v>
      </c>
      <c r="E67" s="28"/>
      <c r="F67" s="33" t="s">
        <v>24</v>
      </c>
      <c r="G67" s="19"/>
      <c r="H67" s="19"/>
    </row>
    <row r="68" spans="1:6" ht="15" thickTop="1">
      <c r="A68" s="240"/>
      <c r="B68" s="12"/>
      <c r="C68" s="12"/>
      <c r="D68" s="12"/>
      <c r="E68" s="28"/>
      <c r="F68" s="12"/>
    </row>
    <row r="69" spans="1:6" ht="14.25">
      <c r="A69" s="12"/>
      <c r="B69" s="12"/>
      <c r="C69" s="12"/>
      <c r="D69" s="12"/>
      <c r="E69" s="28"/>
      <c r="F69" s="12"/>
    </row>
    <row r="70" spans="1:6" ht="15">
      <c r="A70" s="16" t="s">
        <v>96</v>
      </c>
      <c r="B70" s="12"/>
      <c r="C70" s="12"/>
      <c r="D70" s="12"/>
      <c r="E70" s="28"/>
      <c r="F70" s="12"/>
    </row>
    <row r="71" spans="1:6" ht="14.25">
      <c r="A71" s="12" t="s">
        <v>81</v>
      </c>
      <c r="B71" s="12"/>
      <c r="C71" s="12"/>
      <c r="D71" s="32">
        <f>'[1]cashflow.'!D65</f>
        <v>24215.425580000003</v>
      </c>
      <c r="E71" s="28"/>
      <c r="F71" s="29" t="s">
        <v>24</v>
      </c>
    </row>
    <row r="72" spans="1:6" ht="14.25">
      <c r="A72" s="12" t="s">
        <v>82</v>
      </c>
      <c r="B72" s="12"/>
      <c r="C72" s="12"/>
      <c r="D72" s="32">
        <f>'[1]cashflow.'!D66</f>
        <v>3321.387730000001</v>
      </c>
      <c r="E72" s="28"/>
      <c r="F72" s="29" t="s">
        <v>24</v>
      </c>
    </row>
    <row r="73" spans="1:6" ht="12.75">
      <c r="A73" s="12" t="s">
        <v>83</v>
      </c>
      <c r="B73" s="12"/>
      <c r="C73" s="12"/>
      <c r="D73" s="32">
        <f>'[1]cashflow.'!D67</f>
        <v>-5084</v>
      </c>
      <c r="F73" s="29" t="s">
        <v>24</v>
      </c>
    </row>
    <row r="74" spans="1:6" ht="12.75">
      <c r="A74" s="44" t="s">
        <v>93</v>
      </c>
      <c r="B74" s="47"/>
      <c r="C74" s="12"/>
      <c r="D74" s="32">
        <f>'[1]cashflow.'!$D$69</f>
        <v>-8027.46</v>
      </c>
      <c r="F74" s="29" t="s">
        <v>24</v>
      </c>
    </row>
    <row r="75" spans="1:6" ht="15" thickBot="1">
      <c r="A75" s="12"/>
      <c r="B75" s="12"/>
      <c r="C75" s="12"/>
      <c r="D75" s="46">
        <f>SUM(D71:D74)</f>
        <v>14425.353310000006</v>
      </c>
      <c r="E75" s="28"/>
      <c r="F75" s="48" t="s">
        <v>24</v>
      </c>
    </row>
    <row r="76" spans="5:6" ht="15" thickTop="1">
      <c r="E76" s="28"/>
      <c r="F76" s="12"/>
    </row>
    <row r="77" spans="4:5" ht="14.25">
      <c r="D77" s="52">
        <f>D75-D67</f>
        <v>-0.9306059495556838</v>
      </c>
      <c r="E77" s="28"/>
    </row>
    <row r="78" ht="12.75" customHeight="1"/>
    <row r="79" ht="12.75">
      <c r="A79" s="43" t="s">
        <v>94</v>
      </c>
    </row>
    <row r="80" ht="12.75">
      <c r="A80" s="43" t="s">
        <v>52</v>
      </c>
    </row>
    <row r="81" ht="12.75">
      <c r="A81" s="43" t="s">
        <v>95</v>
      </c>
    </row>
  </sheetData>
  <sheetProtection/>
  <mergeCells count="2">
    <mergeCell ref="A64:A65"/>
    <mergeCell ref="A67:A68"/>
  </mergeCells>
  <printOptions/>
  <pageMargins left="0.25" right="0.21" top="0.17" bottom="0.16" header="0.17" footer="0.16"/>
  <pageSetup fitToHeight="1" fitToWidth="1"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36"/>
  <sheetViews>
    <sheetView zoomScalePageLayoutView="0" workbookViewId="0" topLeftCell="A10">
      <selection activeCell="C18" sqref="C18"/>
    </sheetView>
  </sheetViews>
  <sheetFormatPr defaultColWidth="9.140625" defaultRowHeight="12.75"/>
  <cols>
    <col min="1" max="1" width="5.57421875" style="0" customWidth="1"/>
    <col min="2" max="2" width="30.8515625" style="0" customWidth="1"/>
    <col min="3" max="3" width="14.57421875" style="0" customWidth="1"/>
    <col min="4" max="4" width="18.00390625" style="0" customWidth="1"/>
    <col min="5" max="5" width="19.57421875" style="0" customWidth="1"/>
    <col min="6" max="6" width="20.140625" style="0" customWidth="1"/>
  </cols>
  <sheetData>
    <row r="1" ht="20.25">
      <c r="A1" s="6" t="str">
        <f>+'Income statement'!B1</f>
        <v>HANDAL RESOURCES  BERHAD (816839-X)</v>
      </c>
    </row>
    <row r="3" ht="12.75">
      <c r="B3" s="2" t="s">
        <v>17</v>
      </c>
    </row>
    <row r="4" spans="21:33" ht="12.75">
      <c r="U4" t="s">
        <v>14</v>
      </c>
      <c r="V4" t="s">
        <v>15</v>
      </c>
      <c r="X4" t="s">
        <v>16</v>
      </c>
      <c r="Y4" t="s">
        <v>15</v>
      </c>
      <c r="AC4" t="s">
        <v>3</v>
      </c>
      <c r="AD4" t="s">
        <v>3</v>
      </c>
      <c r="AF4" t="s">
        <v>3</v>
      </c>
      <c r="AG4" t="s">
        <v>3</v>
      </c>
    </row>
    <row r="5" ht="13.5" thickBot="1"/>
    <row r="6" spans="3:8" ht="13.5" thickBot="1">
      <c r="C6" s="243" t="s">
        <v>18</v>
      </c>
      <c r="D6" s="244"/>
      <c r="E6" s="243" t="s">
        <v>19</v>
      </c>
      <c r="F6" s="244"/>
      <c r="H6" s="7"/>
    </row>
    <row r="7" spans="3:6" ht="12.75">
      <c r="C7" s="245" t="s">
        <v>20</v>
      </c>
      <c r="D7" s="245" t="s">
        <v>21</v>
      </c>
      <c r="E7" s="245" t="s">
        <v>23</v>
      </c>
      <c r="F7" s="245" t="s">
        <v>22</v>
      </c>
    </row>
    <row r="8" spans="3:6" ht="12.75">
      <c r="C8" s="245"/>
      <c r="D8" s="245"/>
      <c r="E8" s="245"/>
      <c r="F8" s="245"/>
    </row>
    <row r="9" spans="3:6" ht="12.75">
      <c r="C9" s="245"/>
      <c r="D9" s="245"/>
      <c r="E9" s="245"/>
      <c r="F9" s="245"/>
    </row>
    <row r="10" spans="3:6" ht="12.75">
      <c r="C10" s="5" t="e">
        <f>+'Income statement'!#REF!</f>
        <v>#REF!</v>
      </c>
      <c r="D10" s="5" t="e">
        <f>+'Income statement'!#REF!</f>
        <v>#REF!</v>
      </c>
      <c r="E10" s="5" t="e">
        <f>+C10</f>
        <v>#REF!</v>
      </c>
      <c r="F10" s="5" t="e">
        <f>+D10</f>
        <v>#REF!</v>
      </c>
    </row>
    <row r="11" spans="3:6" ht="12.75">
      <c r="C11" s="5"/>
      <c r="D11" s="5"/>
      <c r="E11" s="5"/>
      <c r="F11" s="5"/>
    </row>
    <row r="12" spans="3:6" ht="12.75">
      <c r="C12" s="5" t="s">
        <v>3</v>
      </c>
      <c r="D12" s="5" t="s">
        <v>3</v>
      </c>
      <c r="E12" s="5" t="s">
        <v>3</v>
      </c>
      <c r="F12" s="5" t="s">
        <v>3</v>
      </c>
    </row>
    <row r="14" spans="1:6" ht="12.75">
      <c r="A14" s="1">
        <v>1</v>
      </c>
      <c r="B14" t="s">
        <v>1</v>
      </c>
      <c r="C14" s="9" t="e">
        <f>+'Income statement'!#REF!</f>
        <v>#REF!</v>
      </c>
      <c r="D14" s="9" t="e">
        <f>+'Income statement'!#REF!</f>
        <v>#REF!</v>
      </c>
      <c r="E14" s="9">
        <f>+'Income statement'!J15</f>
        <v>61601.03842</v>
      </c>
      <c r="F14" s="9">
        <f>+'Income statement'!K15</f>
        <v>70743</v>
      </c>
    </row>
    <row r="15" spans="1:6" ht="12.75">
      <c r="A15" s="1"/>
      <c r="C15" s="9"/>
      <c r="D15" s="9"/>
      <c r="E15" s="9"/>
      <c r="F15" s="9"/>
    </row>
    <row r="16" spans="1:6" ht="12.75">
      <c r="A16" s="1">
        <v>2</v>
      </c>
      <c r="B16" t="s">
        <v>42</v>
      </c>
      <c r="C16" s="9" t="e">
        <f>+'Income statement'!#REF!</f>
        <v>#REF!</v>
      </c>
      <c r="D16" s="9" t="e">
        <f>+'Income statement'!#REF!</f>
        <v>#REF!</v>
      </c>
      <c r="E16" s="9">
        <f>+'Income statement'!J29</f>
        <v>8053.92145</v>
      </c>
      <c r="F16" s="9">
        <f>+'Income statement'!K29</f>
        <v>15806</v>
      </c>
    </row>
    <row r="17" spans="1:6" ht="12.75">
      <c r="A17" s="1"/>
      <c r="C17" s="9"/>
      <c r="D17" s="9"/>
      <c r="E17" s="9"/>
      <c r="F17" s="9"/>
    </row>
    <row r="18" spans="1:6" ht="12.75">
      <c r="A18" s="1">
        <v>3</v>
      </c>
      <c r="B18" s="241" t="s">
        <v>49</v>
      </c>
      <c r="C18" s="9" t="e">
        <f>+'Income statement'!#REF!</f>
        <v>#REF!</v>
      </c>
      <c r="D18" s="9" t="e">
        <f>+'Income statement'!#REF!</f>
        <v>#REF!</v>
      </c>
      <c r="E18" s="9" t="e">
        <f>+'Income statement'!#REF!</f>
        <v>#REF!</v>
      </c>
      <c r="F18" s="9" t="e">
        <f>+'Income statement'!#REF!</f>
        <v>#REF!</v>
      </c>
    </row>
    <row r="19" spans="1:6" ht="12.75">
      <c r="A19" s="1"/>
      <c r="B19" s="241"/>
      <c r="C19" s="9"/>
      <c r="D19" s="9"/>
      <c r="E19" s="9"/>
      <c r="F19" s="9"/>
    </row>
    <row r="20" spans="1:6" ht="12.75">
      <c r="A20" s="1"/>
      <c r="C20" s="9"/>
      <c r="D20" s="9"/>
      <c r="E20" s="9"/>
      <c r="F20" s="9"/>
    </row>
    <row r="21" spans="1:6" ht="12.75">
      <c r="A21" s="1">
        <v>4</v>
      </c>
      <c r="B21" t="s">
        <v>45</v>
      </c>
      <c r="C21" s="9" t="e">
        <f>+'Income statement'!#REF!</f>
        <v>#REF!</v>
      </c>
      <c r="D21" s="9" t="e">
        <f>+'Income statement'!#REF!</f>
        <v>#REF!</v>
      </c>
      <c r="E21" s="9" t="e">
        <f>+'Income statement'!#REF!</f>
        <v>#REF!</v>
      </c>
      <c r="F21" s="9" t="e">
        <f>+'Income statement'!#REF!</f>
        <v>#REF!</v>
      </c>
    </row>
    <row r="22" spans="1:6" ht="12.75">
      <c r="A22" s="1"/>
      <c r="B22" t="s">
        <v>46</v>
      </c>
      <c r="C22" s="9"/>
      <c r="D22" s="9"/>
      <c r="E22" s="9"/>
      <c r="F22" s="9"/>
    </row>
    <row r="23" spans="1:6" ht="12.75">
      <c r="A23" s="1"/>
      <c r="C23" s="9"/>
      <c r="D23" s="9"/>
      <c r="E23" s="9"/>
      <c r="F23" s="9"/>
    </row>
    <row r="24" spans="1:6" ht="25.5">
      <c r="A24" s="1">
        <v>5</v>
      </c>
      <c r="B24" s="8" t="s">
        <v>43</v>
      </c>
      <c r="C24" s="10" t="e">
        <f>+C18/43560*100</f>
        <v>#REF!</v>
      </c>
      <c r="D24" s="10" t="e">
        <f>+D21/43560*100</f>
        <v>#REF!</v>
      </c>
      <c r="E24" s="10" t="e">
        <f>+E18/43560*100</f>
        <v>#REF!</v>
      </c>
      <c r="F24" s="10" t="e">
        <f>+F21/43560*100</f>
        <v>#REF!</v>
      </c>
    </row>
    <row r="25" spans="1:6" ht="12.75">
      <c r="A25" s="1"/>
      <c r="B25" s="8"/>
      <c r="C25" s="9"/>
      <c r="D25" s="9"/>
      <c r="E25" s="9"/>
      <c r="F25" s="9"/>
    </row>
    <row r="26" spans="1:6" ht="12.75">
      <c r="A26" s="1"/>
      <c r="C26" s="9"/>
      <c r="D26" s="9"/>
      <c r="E26" s="9"/>
      <c r="F26" s="9"/>
    </row>
    <row r="27" spans="1:6" ht="25.5">
      <c r="A27" s="1">
        <v>6</v>
      </c>
      <c r="B27" s="8" t="s">
        <v>47</v>
      </c>
      <c r="C27" s="14">
        <v>0</v>
      </c>
      <c r="D27" s="13">
        <v>0</v>
      </c>
      <c r="E27" s="13">
        <v>0</v>
      </c>
      <c r="F27" s="13">
        <v>0</v>
      </c>
    </row>
    <row r="28" spans="1:6" ht="12.75">
      <c r="A28" s="1"/>
      <c r="B28" s="8"/>
      <c r="C28" s="9"/>
      <c r="D28" s="9"/>
      <c r="E28" s="9"/>
      <c r="F28" s="9"/>
    </row>
    <row r="29" spans="1:6" ht="12.75">
      <c r="A29" s="1"/>
      <c r="B29" s="8"/>
      <c r="C29" s="9"/>
      <c r="D29" s="9"/>
      <c r="E29" s="9"/>
      <c r="F29" s="9"/>
    </row>
    <row r="30" spans="1:6" ht="12.75">
      <c r="A30" s="1"/>
      <c r="B30" s="8"/>
      <c r="C30" s="9"/>
      <c r="D30" s="9"/>
      <c r="E30" s="4" t="s">
        <v>27</v>
      </c>
      <c r="F30" s="4" t="s">
        <v>29</v>
      </c>
    </row>
    <row r="31" spans="3:6" ht="12.75">
      <c r="C31" s="9"/>
      <c r="D31" s="9"/>
      <c r="E31" s="4" t="s">
        <v>28</v>
      </c>
      <c r="F31" s="4" t="s">
        <v>30</v>
      </c>
    </row>
    <row r="32" spans="3:6" ht="12.75">
      <c r="C32" s="9"/>
      <c r="D32" s="9"/>
      <c r="E32" s="4"/>
      <c r="F32" s="4"/>
    </row>
    <row r="33" spans="1:6" ht="12.75">
      <c r="A33">
        <v>7</v>
      </c>
      <c r="B33" s="242" t="s">
        <v>48</v>
      </c>
      <c r="C33" s="9"/>
      <c r="D33" s="9"/>
      <c r="E33" s="10">
        <f>+'balance sheet'!C61</f>
        <v>0.6599666445444444</v>
      </c>
      <c r="F33" s="10">
        <f>+'balance sheet'!G61</f>
        <v>0.7820666666666667</v>
      </c>
    </row>
    <row r="34" spans="2:6" ht="12.75">
      <c r="B34" s="242"/>
      <c r="C34" s="9"/>
      <c r="D34" s="9"/>
      <c r="E34" s="9"/>
      <c r="F34" s="9"/>
    </row>
    <row r="35" spans="2:6" ht="12.75">
      <c r="B35" s="242"/>
      <c r="C35" s="9"/>
      <c r="D35" s="9"/>
      <c r="E35" s="9"/>
      <c r="F35" s="9"/>
    </row>
    <row r="36" spans="3:6" ht="12.75">
      <c r="C36" s="9"/>
      <c r="D36" s="9"/>
      <c r="E36" s="9"/>
      <c r="F36" s="9"/>
    </row>
  </sheetData>
  <sheetProtection/>
  <mergeCells count="8">
    <mergeCell ref="B18:B19"/>
    <mergeCell ref="B33:B35"/>
    <mergeCell ref="C6:D6"/>
    <mergeCell ref="E6:F6"/>
    <mergeCell ref="C7:C9"/>
    <mergeCell ref="D7:D9"/>
    <mergeCell ref="E7:E9"/>
    <mergeCell ref="F7:F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94"/>
  <sheetViews>
    <sheetView zoomScalePageLayoutView="0" workbookViewId="0" topLeftCell="A64">
      <selection activeCell="D99" sqref="D99"/>
    </sheetView>
  </sheetViews>
  <sheetFormatPr defaultColWidth="9.140625" defaultRowHeight="12.75"/>
  <cols>
    <col min="2" max="2" width="52.7109375" style="0" customWidth="1"/>
    <col min="3" max="3" width="9.140625" style="153" customWidth="1"/>
    <col min="4" max="4" width="17.8515625" style="153" customWidth="1"/>
    <col min="5" max="5" width="11.00390625" style="0" customWidth="1"/>
  </cols>
  <sheetData>
    <row r="1" ht="15">
      <c r="B1" s="16" t="s">
        <v>173</v>
      </c>
    </row>
    <row r="2" ht="15">
      <c r="B2" s="16" t="s">
        <v>174</v>
      </c>
    </row>
    <row r="3" ht="15">
      <c r="B3" s="16" t="s">
        <v>175</v>
      </c>
    </row>
    <row r="4" ht="15">
      <c r="B4" s="16"/>
    </row>
    <row r="5" ht="15">
      <c r="B5" s="16" t="s">
        <v>176</v>
      </c>
    </row>
    <row r="6" ht="15">
      <c r="B6" s="16" t="s">
        <v>177</v>
      </c>
    </row>
    <row r="7" ht="14.25">
      <c r="B7" s="150"/>
    </row>
    <row r="8" spans="2:4" ht="15">
      <c r="B8" s="24"/>
      <c r="C8" s="17" t="s">
        <v>178</v>
      </c>
      <c r="D8" s="17">
        <v>2009</v>
      </c>
    </row>
    <row r="9" spans="2:4" ht="15">
      <c r="B9" s="24"/>
      <c r="C9" s="17"/>
      <c r="D9" s="17" t="s">
        <v>179</v>
      </c>
    </row>
    <row r="10" spans="2:4" ht="14.25">
      <c r="B10" s="20"/>
      <c r="C10" s="19"/>
      <c r="D10" s="19"/>
    </row>
    <row r="11" spans="2:4" ht="14.25">
      <c r="B11" s="20" t="s">
        <v>63</v>
      </c>
      <c r="C11" s="19"/>
      <c r="D11" s="19"/>
    </row>
    <row r="12" spans="2:4" ht="14.25">
      <c r="B12" s="20" t="s">
        <v>2</v>
      </c>
      <c r="C12" s="19"/>
      <c r="D12" s="155">
        <v>13768765</v>
      </c>
    </row>
    <row r="13" spans="2:4" ht="14.25">
      <c r="B13" s="20"/>
      <c r="C13" s="19"/>
      <c r="D13" s="19"/>
    </row>
    <row r="14" spans="2:4" ht="14.25">
      <c r="B14" s="20" t="s">
        <v>7</v>
      </c>
      <c r="C14" s="19"/>
      <c r="D14" s="19"/>
    </row>
    <row r="15" spans="2:4" ht="14.25">
      <c r="B15" s="20"/>
      <c r="C15" s="19"/>
      <c r="D15" s="19"/>
    </row>
    <row r="16" spans="2:4" ht="14.25">
      <c r="B16" s="20" t="s">
        <v>64</v>
      </c>
      <c r="C16" s="19"/>
      <c r="D16" s="155">
        <v>1410509</v>
      </c>
    </row>
    <row r="17" spans="2:4" ht="14.25">
      <c r="B17" s="20" t="s">
        <v>65</v>
      </c>
      <c r="C17" s="19"/>
      <c r="D17" s="155">
        <v>968612</v>
      </c>
    </row>
    <row r="18" spans="2:4" ht="14.25">
      <c r="B18" s="20" t="s">
        <v>180</v>
      </c>
      <c r="C18" s="19"/>
      <c r="D18" s="155">
        <v>48152</v>
      </c>
    </row>
    <row r="19" spans="2:4" ht="14.25">
      <c r="B19" s="20" t="s">
        <v>66</v>
      </c>
      <c r="C19" s="19"/>
      <c r="D19" s="155">
        <v>29548</v>
      </c>
    </row>
    <row r="20" spans="2:4" ht="14.25">
      <c r="B20" s="20" t="s">
        <v>181</v>
      </c>
      <c r="C20" s="19"/>
      <c r="D20" s="155">
        <v>-38068</v>
      </c>
    </row>
    <row r="21" spans="2:4" ht="14.25">
      <c r="B21" s="20" t="s">
        <v>67</v>
      </c>
      <c r="C21" s="19"/>
      <c r="D21" s="155">
        <v>-381336</v>
      </c>
    </row>
    <row r="22" spans="2:5" ht="15" thickBot="1">
      <c r="B22" s="20" t="s">
        <v>182</v>
      </c>
      <c r="C22" s="19"/>
      <c r="D22" s="156">
        <v>-1123129</v>
      </c>
      <c r="E22" s="7">
        <f>SUM(D16:D22)</f>
        <v>914288</v>
      </c>
    </row>
    <row r="23" spans="2:4" ht="14.25">
      <c r="B23" s="20"/>
      <c r="C23" s="19"/>
      <c r="D23" s="19"/>
    </row>
    <row r="24" spans="2:4" ht="14.25">
      <c r="B24" s="20" t="s">
        <v>8</v>
      </c>
      <c r="C24" s="19"/>
      <c r="D24" s="155">
        <v>14683053</v>
      </c>
    </row>
    <row r="25" spans="2:4" ht="14.25">
      <c r="B25" s="20"/>
      <c r="C25" s="19"/>
      <c r="D25" s="19"/>
    </row>
    <row r="26" spans="2:4" ht="14.25">
      <c r="B26" s="24" t="s">
        <v>183</v>
      </c>
      <c r="C26" s="19"/>
      <c r="D26" s="155">
        <v>1005378</v>
      </c>
    </row>
    <row r="27" spans="2:4" ht="14.25">
      <c r="B27" s="24" t="s">
        <v>184</v>
      </c>
      <c r="C27" s="19"/>
      <c r="D27" s="155">
        <v>2638376</v>
      </c>
    </row>
    <row r="28" spans="2:4" ht="14.25">
      <c r="B28" s="20" t="s">
        <v>144</v>
      </c>
      <c r="C28" s="19"/>
      <c r="D28" s="155">
        <v>-3186200</v>
      </c>
    </row>
    <row r="29" spans="2:4" ht="28.5">
      <c r="B29" s="20" t="s">
        <v>185</v>
      </c>
      <c r="C29" s="19"/>
      <c r="D29" s="155">
        <v>-1774921</v>
      </c>
    </row>
    <row r="30" spans="2:4" ht="28.5">
      <c r="B30" s="20" t="s">
        <v>132</v>
      </c>
      <c r="C30" s="19"/>
      <c r="D30" s="155">
        <v>1373389</v>
      </c>
    </row>
    <row r="31" spans="2:4" ht="14.25">
      <c r="B31" s="20" t="s">
        <v>69</v>
      </c>
      <c r="C31" s="19"/>
      <c r="D31" s="155">
        <v>189777</v>
      </c>
    </row>
    <row r="32" spans="2:4" ht="15" thickBot="1">
      <c r="B32" s="20" t="s">
        <v>133</v>
      </c>
      <c r="C32" s="19"/>
      <c r="D32" s="156">
        <v>-271731</v>
      </c>
    </row>
    <row r="33" spans="2:4" ht="14.25">
      <c r="B33" s="24"/>
      <c r="C33" s="19"/>
      <c r="D33" s="19"/>
    </row>
    <row r="34" spans="2:4" ht="14.25">
      <c r="B34" s="24" t="s">
        <v>186</v>
      </c>
      <c r="C34" s="19"/>
      <c r="D34" s="155">
        <v>14657121</v>
      </c>
    </row>
    <row r="35" spans="2:4" ht="14.25">
      <c r="B35" s="24"/>
      <c r="C35" s="19"/>
      <c r="D35" s="19"/>
    </row>
    <row r="36" spans="2:4" ht="14.25">
      <c r="B36" s="18" t="s">
        <v>9</v>
      </c>
      <c r="C36" s="19"/>
      <c r="D36" s="155">
        <v>-134101</v>
      </c>
    </row>
    <row r="37" spans="2:4" ht="15" thickBot="1">
      <c r="B37" s="18" t="s">
        <v>70</v>
      </c>
      <c r="C37" s="19"/>
      <c r="D37" s="156">
        <v>-3491456</v>
      </c>
    </row>
    <row r="38" spans="2:4" ht="14.25">
      <c r="B38" s="18"/>
      <c r="C38" s="19"/>
      <c r="D38" s="19"/>
    </row>
    <row r="39" spans="2:4" ht="15" thickBot="1">
      <c r="B39" s="18" t="s">
        <v>44</v>
      </c>
      <c r="C39" s="19"/>
      <c r="D39" s="156">
        <v>11031564</v>
      </c>
    </row>
    <row r="40" spans="2:4" ht="14.25">
      <c r="B40" s="18"/>
      <c r="C40" s="19"/>
      <c r="D40" s="19"/>
    </row>
    <row r="41" spans="2:4" ht="15">
      <c r="B41" s="18" t="s">
        <v>71</v>
      </c>
      <c r="C41" s="19"/>
      <c r="D41" s="17"/>
    </row>
    <row r="42" spans="2:4" ht="14.25">
      <c r="B42" s="18" t="s">
        <v>187</v>
      </c>
      <c r="C42" s="19"/>
      <c r="D42" s="19"/>
    </row>
    <row r="43" spans="2:4" ht="14.25">
      <c r="B43" s="18" t="s">
        <v>188</v>
      </c>
      <c r="C43" s="19">
        <v>17</v>
      </c>
      <c r="D43" s="155">
        <v>15479479</v>
      </c>
    </row>
    <row r="44" spans="2:4" ht="14.25">
      <c r="B44" s="18" t="s">
        <v>189</v>
      </c>
      <c r="C44" s="19"/>
      <c r="D44" s="155">
        <v>381336</v>
      </c>
    </row>
    <row r="45" spans="2:4" ht="14.25">
      <c r="B45" s="18" t="s">
        <v>190</v>
      </c>
      <c r="C45" s="19"/>
      <c r="D45" s="155">
        <v>38068</v>
      </c>
    </row>
    <row r="46" spans="2:4" ht="14.25">
      <c r="B46" s="18" t="s">
        <v>90</v>
      </c>
      <c r="C46" s="19"/>
      <c r="D46" s="155">
        <v>-500682</v>
      </c>
    </row>
    <row r="47" spans="2:4" ht="15" thickBot="1">
      <c r="B47" s="18" t="s">
        <v>73</v>
      </c>
      <c r="C47" s="19">
        <v>25</v>
      </c>
      <c r="D47" s="155">
        <v>-11636454</v>
      </c>
    </row>
    <row r="48" spans="2:4" ht="15">
      <c r="B48" s="18"/>
      <c r="C48" s="19"/>
      <c r="D48" s="157"/>
    </row>
    <row r="49" spans="2:4" ht="15" thickBot="1">
      <c r="B49" s="18" t="s">
        <v>191</v>
      </c>
      <c r="C49" s="19"/>
      <c r="D49" s="156">
        <v>3761747</v>
      </c>
    </row>
    <row r="50" spans="2:4" ht="12.75">
      <c r="B50" s="151"/>
      <c r="C50" s="154"/>
      <c r="D50" s="154"/>
    </row>
    <row r="51" spans="2:5" ht="15">
      <c r="B51" s="20"/>
      <c r="C51" s="19"/>
      <c r="D51" s="17"/>
      <c r="E51" s="152"/>
    </row>
    <row r="52" spans="2:5" ht="15">
      <c r="B52" s="20" t="s">
        <v>75</v>
      </c>
      <c r="C52" s="19"/>
      <c r="D52" s="17"/>
      <c r="E52" s="152"/>
    </row>
    <row r="53" spans="2:5" ht="15">
      <c r="B53" s="20" t="s">
        <v>192</v>
      </c>
      <c r="C53" s="19"/>
      <c r="D53" s="155">
        <v>13320000</v>
      </c>
      <c r="E53" s="152"/>
    </row>
    <row r="54" spans="2:5" ht="15">
      <c r="B54" s="20" t="s">
        <v>193</v>
      </c>
      <c r="C54" s="19"/>
      <c r="D54" s="155">
        <v>1785884</v>
      </c>
      <c r="E54" s="152"/>
    </row>
    <row r="55" spans="2:5" ht="15">
      <c r="B55" s="20" t="s">
        <v>76</v>
      </c>
      <c r="C55" s="19"/>
      <c r="D55" s="155">
        <v>-9886</v>
      </c>
      <c r="E55" s="152"/>
    </row>
    <row r="56" spans="2:5" ht="15">
      <c r="B56" s="20" t="s">
        <v>194</v>
      </c>
      <c r="C56" s="19"/>
      <c r="D56" s="155">
        <v>-26016</v>
      </c>
      <c r="E56" s="152"/>
    </row>
    <row r="57" spans="2:5" ht="15">
      <c r="B57" s="20" t="s">
        <v>77</v>
      </c>
      <c r="C57" s="19"/>
      <c r="D57" s="155">
        <v>-63273</v>
      </c>
      <c r="E57" s="152"/>
    </row>
    <row r="58" spans="2:5" ht="15">
      <c r="B58" s="20" t="s">
        <v>195</v>
      </c>
      <c r="C58" s="19"/>
      <c r="D58" s="155">
        <v>-666770</v>
      </c>
      <c r="E58" s="152"/>
    </row>
    <row r="59" spans="2:5" ht="15">
      <c r="B59" s="20" t="s">
        <v>196</v>
      </c>
      <c r="C59" s="19"/>
      <c r="D59" s="155">
        <v>-2520424</v>
      </c>
      <c r="E59" s="152"/>
    </row>
    <row r="60" spans="2:5" ht="15">
      <c r="B60" s="20" t="s">
        <v>197</v>
      </c>
      <c r="C60" s="19"/>
      <c r="D60" s="155">
        <v>-2812839</v>
      </c>
      <c r="E60" s="152"/>
    </row>
    <row r="61" spans="2:5" ht="15.75" thickBot="1">
      <c r="B61" s="20" t="s">
        <v>198</v>
      </c>
      <c r="C61" s="19"/>
      <c r="D61" s="156">
        <v>-5000000</v>
      </c>
      <c r="E61" s="152"/>
    </row>
    <row r="62" spans="2:5" ht="15">
      <c r="B62" s="20"/>
      <c r="C62" s="19"/>
      <c r="D62" s="19"/>
      <c r="E62" s="152"/>
    </row>
    <row r="63" spans="2:5" ht="15.75" thickBot="1">
      <c r="B63" s="20" t="s">
        <v>199</v>
      </c>
      <c r="C63" s="19"/>
      <c r="D63" s="156">
        <v>4006676</v>
      </c>
      <c r="E63" s="152"/>
    </row>
    <row r="64" spans="2:5" ht="15">
      <c r="B64" s="20"/>
      <c r="C64" s="19"/>
      <c r="D64" s="17"/>
      <c r="E64" s="152"/>
    </row>
    <row r="65" spans="2:5" ht="14.25">
      <c r="B65" s="20" t="s">
        <v>200</v>
      </c>
      <c r="C65" s="19"/>
      <c r="D65" s="155">
        <v>18799987</v>
      </c>
      <c r="E65" s="24"/>
    </row>
    <row r="66" spans="2:5" ht="15">
      <c r="B66" s="20"/>
      <c r="C66" s="19"/>
      <c r="D66" s="19"/>
      <c r="E66" s="152"/>
    </row>
    <row r="67" spans="2:5" ht="28.5">
      <c r="B67" s="20" t="s">
        <v>201</v>
      </c>
      <c r="C67" s="19"/>
      <c r="D67" s="19"/>
      <c r="E67" s="152"/>
    </row>
    <row r="68" spans="2:5" ht="15.75" thickBot="1">
      <c r="B68" s="20"/>
      <c r="C68" s="19"/>
      <c r="D68" s="158">
        <v>2</v>
      </c>
      <c r="E68" s="152"/>
    </row>
    <row r="69" spans="2:5" ht="15">
      <c r="B69" s="20"/>
      <c r="C69" s="19"/>
      <c r="D69" s="19"/>
      <c r="E69" s="152"/>
    </row>
    <row r="70" spans="2:5" ht="15.75" thickBot="1">
      <c r="B70" s="20" t="s">
        <v>202</v>
      </c>
      <c r="C70" s="19">
        <v>26</v>
      </c>
      <c r="D70" s="159">
        <v>18799989</v>
      </c>
      <c r="E70" s="152"/>
    </row>
    <row r="71" spans="2:5" ht="13.5" thickTop="1">
      <c r="B71" s="151"/>
      <c r="C71" s="154"/>
      <c r="D71" s="154"/>
      <c r="E71" s="151"/>
    </row>
    <row r="72" ht="14.25">
      <c r="B72" s="60"/>
    </row>
    <row r="73" ht="14.25">
      <c r="B73" s="51"/>
    </row>
    <row r="74" ht="14.25">
      <c r="B74" s="51"/>
    </row>
    <row r="75" spans="2:4" ht="15">
      <c r="B75" s="161" t="s">
        <v>212</v>
      </c>
      <c r="C75"/>
      <c r="D75"/>
    </row>
    <row r="76" spans="2:4" ht="14.25">
      <c r="B76" s="150"/>
      <c r="C76"/>
      <c r="D76"/>
    </row>
    <row r="77" spans="2:4" ht="42.75">
      <c r="B77" s="150" t="s">
        <v>203</v>
      </c>
      <c r="C77"/>
      <c r="D77"/>
    </row>
    <row r="78" spans="2:4" ht="14.25">
      <c r="B78" s="150"/>
      <c r="C78"/>
      <c r="D78"/>
    </row>
    <row r="79" spans="2:7" ht="15.75" thickBot="1">
      <c r="B79" s="25"/>
      <c r="D79" s="162" t="s">
        <v>204</v>
      </c>
      <c r="E79" s="163"/>
      <c r="F79" s="246"/>
      <c r="G79" s="246"/>
    </row>
    <row r="80" spans="2:7" ht="15">
      <c r="B80" s="25"/>
      <c r="D80" s="17">
        <v>2009</v>
      </c>
      <c r="E80" s="163"/>
      <c r="F80" s="164"/>
      <c r="G80" s="163"/>
    </row>
    <row r="81" spans="2:7" ht="15">
      <c r="B81" s="20"/>
      <c r="D81" s="17" t="s">
        <v>179</v>
      </c>
      <c r="E81" s="163"/>
      <c r="F81" s="164"/>
      <c r="G81" s="163"/>
    </row>
    <row r="82" spans="2:7" ht="15">
      <c r="B82" s="20"/>
      <c r="D82" s="17"/>
      <c r="E82" s="163"/>
      <c r="F82" s="164"/>
      <c r="G82" s="164"/>
    </row>
    <row r="83" spans="2:7" ht="14.25">
      <c r="B83" s="20" t="s">
        <v>205</v>
      </c>
      <c r="D83" s="155">
        <v>8538068</v>
      </c>
      <c r="E83" s="165"/>
      <c r="F83" s="166"/>
      <c r="G83" s="166"/>
    </row>
    <row r="84" spans="2:7" ht="15">
      <c r="B84" s="20" t="s">
        <v>206</v>
      </c>
      <c r="D84" s="17"/>
      <c r="E84" s="163"/>
      <c r="F84" s="164"/>
      <c r="G84" s="164"/>
    </row>
    <row r="85" spans="2:7" ht="14.25">
      <c r="B85" s="20" t="s">
        <v>207</v>
      </c>
      <c r="D85" s="155">
        <v>19711108</v>
      </c>
      <c r="E85" s="166"/>
      <c r="F85" s="167"/>
      <c r="G85" s="166"/>
    </row>
    <row r="86" spans="2:7" ht="14.25">
      <c r="B86" s="20" t="s">
        <v>208</v>
      </c>
      <c r="D86" s="155">
        <v>3199333</v>
      </c>
      <c r="E86" s="165"/>
      <c r="F86" s="167"/>
      <c r="G86" s="166"/>
    </row>
    <row r="87" spans="2:7" ht="15" thickBot="1">
      <c r="B87" s="20" t="s">
        <v>209</v>
      </c>
      <c r="D87" s="156">
        <v>-3959186</v>
      </c>
      <c r="E87" s="166"/>
      <c r="F87" s="167"/>
      <c r="G87" s="166"/>
    </row>
    <row r="88" spans="2:7" ht="14.25">
      <c r="B88" s="20"/>
      <c r="D88" s="19"/>
      <c r="E88" s="166"/>
      <c r="F88" s="167"/>
      <c r="G88" s="166"/>
    </row>
    <row r="89" spans="2:7" ht="14.25">
      <c r="B89" s="20"/>
      <c r="D89" s="155">
        <v>27489323</v>
      </c>
      <c r="E89" s="165"/>
      <c r="F89" s="167"/>
      <c r="G89" s="166"/>
    </row>
    <row r="90" spans="2:7" ht="15">
      <c r="B90" s="20" t="s">
        <v>210</v>
      </c>
      <c r="D90" s="17"/>
      <c r="E90" s="163"/>
      <c r="F90" s="164"/>
      <c r="G90" s="163"/>
    </row>
    <row r="91" spans="2:7" ht="15" thickBot="1">
      <c r="B91" s="20" t="s">
        <v>211</v>
      </c>
      <c r="D91" s="156">
        <v>-8689334</v>
      </c>
      <c r="E91" s="168"/>
      <c r="F91" s="168"/>
      <c r="G91" s="166"/>
    </row>
    <row r="92" spans="2:7" ht="14.25">
      <c r="B92" s="20"/>
      <c r="D92" s="19"/>
      <c r="E92" s="168"/>
      <c r="F92" s="168"/>
      <c r="G92" s="166"/>
    </row>
    <row r="93" spans="2:7" ht="15" thickBot="1">
      <c r="B93" s="20"/>
      <c r="D93" s="159">
        <v>18799989</v>
      </c>
      <c r="E93" s="169"/>
      <c r="F93" s="168"/>
      <c r="G93" s="166"/>
    </row>
    <row r="94" spans="2:4" ht="15" thickTop="1">
      <c r="B94" s="150"/>
      <c r="C94"/>
      <c r="D94"/>
    </row>
  </sheetData>
  <sheetProtection/>
  <mergeCells count="1">
    <mergeCell ref="F79:G79"/>
  </mergeCells>
  <printOptions/>
  <pageMargins left="0.7" right="0.7" top="0.75" bottom="0.75" header="0.3" footer="0.3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77"/>
  <sheetViews>
    <sheetView tabSelected="1" zoomScalePageLayoutView="0" workbookViewId="0" topLeftCell="A1">
      <selection activeCell="G31" sqref="G31"/>
    </sheetView>
  </sheetViews>
  <sheetFormatPr defaultColWidth="9.140625" defaultRowHeight="12.75"/>
  <cols>
    <col min="1" max="1" width="10.140625" style="0" customWidth="1"/>
    <col min="2" max="2" width="60.140625" style="0" customWidth="1"/>
    <col min="3" max="3" width="5.7109375" style="0" customWidth="1"/>
    <col min="4" max="4" width="6.8515625" style="0" customWidth="1"/>
    <col min="5" max="5" width="28.8515625" style="0" hidden="1" customWidth="1"/>
    <col min="6" max="6" width="4.421875" style="0" customWidth="1"/>
    <col min="7" max="7" width="26.00390625" style="189" customWidth="1"/>
    <col min="8" max="8" width="3.8515625" style="0" customWidth="1"/>
    <col min="9" max="9" width="24.421875" style="0" customWidth="1"/>
    <col min="10" max="10" width="27.421875" style="0" hidden="1" customWidth="1"/>
    <col min="11" max="11" width="10.140625" style="0" customWidth="1"/>
    <col min="13" max="13" width="13.421875" style="0" customWidth="1"/>
  </cols>
  <sheetData>
    <row r="1" ht="20.25">
      <c r="B1" s="6" t="str">
        <f>+'Income statement'!B1</f>
        <v>HANDAL RESOURCES  BERHAD (816839-X)</v>
      </c>
    </row>
    <row r="3" spans="2:7" s="51" customFormat="1" ht="15">
      <c r="B3" s="16" t="s">
        <v>87</v>
      </c>
      <c r="G3" s="190"/>
    </row>
    <row r="4" spans="2:10" s="51" customFormat="1" ht="15" customHeight="1">
      <c r="B4" s="16" t="s">
        <v>264</v>
      </c>
      <c r="E4" s="39"/>
      <c r="F4" s="39"/>
      <c r="G4" s="191"/>
      <c r="H4" s="39"/>
      <c r="I4" s="39"/>
      <c r="J4" s="39"/>
    </row>
    <row r="5" spans="2:10" s="51" customFormat="1" ht="15" customHeight="1">
      <c r="B5" s="16"/>
      <c r="E5" s="231" t="s">
        <v>213</v>
      </c>
      <c r="F5" s="56"/>
      <c r="G5" s="231" t="s">
        <v>265</v>
      </c>
      <c r="I5" s="231" t="s">
        <v>266</v>
      </c>
      <c r="J5" s="231" t="s">
        <v>214</v>
      </c>
    </row>
    <row r="6" spans="2:10" s="51" customFormat="1" ht="15" customHeight="1">
      <c r="B6" s="16"/>
      <c r="E6" s="231"/>
      <c r="F6" s="56"/>
      <c r="G6" s="231"/>
      <c r="I6" s="248"/>
      <c r="J6" s="248"/>
    </row>
    <row r="7" spans="2:10" s="51" customFormat="1" ht="15" customHeight="1">
      <c r="B7" s="16"/>
      <c r="E7" s="231"/>
      <c r="F7" s="56"/>
      <c r="G7" s="231"/>
      <c r="I7" s="248"/>
      <c r="J7" s="248"/>
    </row>
    <row r="8" spans="2:10" s="51" customFormat="1" ht="45" customHeight="1">
      <c r="B8" s="16"/>
      <c r="E8" s="231"/>
      <c r="F8" s="56"/>
      <c r="G8" s="231"/>
      <c r="I8" s="248"/>
      <c r="J8" s="248"/>
    </row>
    <row r="9" spans="2:10" s="51" customFormat="1" ht="15" customHeight="1">
      <c r="B9" s="16"/>
      <c r="E9" s="58" t="s">
        <v>3</v>
      </c>
      <c r="F9" s="58"/>
      <c r="G9" s="192" t="s">
        <v>3</v>
      </c>
      <c r="I9" s="188" t="s">
        <v>3</v>
      </c>
      <c r="J9" s="58" t="s">
        <v>3</v>
      </c>
    </row>
    <row r="10" spans="2:10" s="51" customFormat="1" ht="15" customHeight="1">
      <c r="B10" s="16"/>
      <c r="E10" s="16"/>
      <c r="F10" s="16"/>
      <c r="G10" s="193"/>
      <c r="H10" s="16"/>
      <c r="I10" s="16"/>
      <c r="J10" s="17"/>
    </row>
    <row r="11" spans="2:10" s="51" customFormat="1" ht="15" customHeight="1">
      <c r="B11" s="18"/>
      <c r="C11" s="19"/>
      <c r="D11" s="17"/>
      <c r="E11" s="17"/>
      <c r="F11" s="17"/>
      <c r="G11" s="194"/>
      <c r="H11" s="17"/>
      <c r="I11" s="17"/>
      <c r="J11" s="17"/>
    </row>
    <row r="12" spans="2:10" s="51" customFormat="1" ht="12.75" customHeight="1">
      <c r="B12" s="15" t="s">
        <v>63</v>
      </c>
      <c r="C12" s="15"/>
      <c r="D12" s="15"/>
      <c r="E12" s="15"/>
      <c r="F12" s="15"/>
      <c r="G12" s="195"/>
      <c r="H12" s="15"/>
      <c r="I12" s="15"/>
      <c r="J12" s="19"/>
    </row>
    <row r="13" spans="2:11" s="51" customFormat="1" ht="14.25">
      <c r="B13" s="20" t="s">
        <v>2</v>
      </c>
      <c r="C13" s="19"/>
      <c r="D13" s="19"/>
      <c r="E13" s="21">
        <f>'[4]cashflow.'!$U$8</f>
        <v>2912</v>
      </c>
      <c r="F13" s="21"/>
      <c r="G13" s="196">
        <f>'[9]Sheet2'!$U$8</f>
        <v>8054</v>
      </c>
      <c r="H13" s="21"/>
      <c r="I13" s="21">
        <v>15806</v>
      </c>
      <c r="J13" s="21">
        <f>'CF12.09'!D12/1000</f>
        <v>13768.765</v>
      </c>
      <c r="K13" s="184"/>
    </row>
    <row r="14" spans="2:11" s="51" customFormat="1" ht="14.25">
      <c r="B14" s="20"/>
      <c r="C14" s="19"/>
      <c r="D14" s="19"/>
      <c r="E14" s="21"/>
      <c r="F14" s="21"/>
      <c r="G14" s="196"/>
      <c r="H14" s="21"/>
      <c r="I14" s="21"/>
      <c r="J14" s="21"/>
      <c r="K14" s="184"/>
    </row>
    <row r="15" spans="2:11" s="51" customFormat="1" ht="15" thickBot="1">
      <c r="B15" s="212" t="s">
        <v>111</v>
      </c>
      <c r="C15" s="19"/>
      <c r="D15" s="19"/>
      <c r="E15" s="21" t="e">
        <f>'[4]cashflow.'!$V$17</f>
        <v>#REF!</v>
      </c>
      <c r="F15" s="21"/>
      <c r="G15" s="196">
        <f>'[9]Sheet2'!$V$20</f>
        <v>3863.66434</v>
      </c>
      <c r="H15" s="21"/>
      <c r="I15" s="22">
        <v>1956</v>
      </c>
      <c r="J15" s="22">
        <f>'CF12.09'!E22/1000</f>
        <v>914.288</v>
      </c>
      <c r="K15" s="184"/>
    </row>
    <row r="16" spans="2:11" s="51" customFormat="1" ht="14.25">
      <c r="B16" s="213"/>
      <c r="C16" s="19"/>
      <c r="D16" s="19"/>
      <c r="E16" s="23"/>
      <c r="F16" s="28"/>
      <c r="G16" s="197"/>
      <c r="H16" s="28"/>
      <c r="I16" s="28"/>
      <c r="J16" s="21"/>
      <c r="K16" s="184"/>
    </row>
    <row r="17" spans="2:11" s="51" customFormat="1" ht="15.75" customHeight="1">
      <c r="B17" s="212" t="s">
        <v>8</v>
      </c>
      <c r="C17" s="19"/>
      <c r="D17" s="19"/>
      <c r="E17" s="49">
        <f>'[4]cashflow.'!$U$21</f>
        <v>3906</v>
      </c>
      <c r="F17" s="49"/>
      <c r="G17" s="198">
        <f>SUM(G13:G15)</f>
        <v>11917.66434</v>
      </c>
      <c r="H17" s="21"/>
      <c r="I17" s="49">
        <f>SUM(I13:I15)</f>
        <v>17762</v>
      </c>
      <c r="J17" s="49">
        <f>'CF12.09'!D24/1000</f>
        <v>14683.053</v>
      </c>
      <c r="K17" s="184"/>
    </row>
    <row r="18" spans="2:15" s="51" customFormat="1" ht="14.25">
      <c r="B18" s="214"/>
      <c r="C18" s="24"/>
      <c r="D18" s="24"/>
      <c r="E18" s="21"/>
      <c r="F18" s="21"/>
      <c r="G18" s="196"/>
      <c r="H18" s="21"/>
      <c r="I18" s="21"/>
      <c r="J18" s="21"/>
      <c r="K18" s="209"/>
      <c r="L18" s="19"/>
      <c r="M18" s="19"/>
      <c r="N18" s="19"/>
      <c r="O18" s="19"/>
    </row>
    <row r="19" spans="2:12" s="51" customFormat="1" ht="14.25" customHeight="1" hidden="1">
      <c r="B19" s="41" t="s">
        <v>88</v>
      </c>
      <c r="C19" s="24"/>
      <c r="D19" s="24"/>
      <c r="E19" s="21">
        <f>'[1]cashflow.'!D22</f>
        <v>0</v>
      </c>
      <c r="F19" s="21"/>
      <c r="G19" s="196" t="e">
        <f>'[1]cashflow.'!F22</f>
        <v>#REF!</v>
      </c>
      <c r="H19" s="21"/>
      <c r="I19" s="21"/>
      <c r="J19" s="21" t="s">
        <v>24</v>
      </c>
      <c r="K19" s="209"/>
      <c r="L19" s="19"/>
    </row>
    <row r="20" spans="2:12" s="51" customFormat="1" ht="14.25" customHeight="1">
      <c r="B20" s="41" t="s">
        <v>238</v>
      </c>
      <c r="C20" s="24"/>
      <c r="D20" s="24"/>
      <c r="E20" s="21">
        <f>'[4]cashflow.'!$U$23</f>
        <v>312.60903000000053</v>
      </c>
      <c r="F20" s="21"/>
      <c r="G20" s="196">
        <f>'[9]Sheet2'!$U$24</f>
        <v>-1233.644800000001</v>
      </c>
      <c r="H20" s="21"/>
      <c r="I20" s="21">
        <v>632</v>
      </c>
      <c r="J20" s="21">
        <f>'CF12.09'!D26/1000</f>
        <v>1005.378</v>
      </c>
      <c r="K20" s="209"/>
      <c r="L20" s="19"/>
    </row>
    <row r="21" spans="2:12" s="51" customFormat="1" ht="14.25" customHeight="1">
      <c r="B21" s="41" t="s">
        <v>239</v>
      </c>
      <c r="C21" s="24"/>
      <c r="D21" s="24"/>
      <c r="E21" s="21">
        <f>'[4]cashflow.'!$U$24</f>
        <v>-1741.777379999996</v>
      </c>
      <c r="F21" s="21"/>
      <c r="G21" s="196">
        <f>'[9]Sheet2'!$U$25</f>
        <v>-6534.001700000006</v>
      </c>
      <c r="H21" s="21"/>
      <c r="I21" s="21">
        <v>-1888</v>
      </c>
      <c r="J21" s="21">
        <f>'CF12.09'!D27/1000</f>
        <v>2638.376</v>
      </c>
      <c r="K21" s="209"/>
      <c r="L21" s="19"/>
    </row>
    <row r="22" spans="2:12" s="51" customFormat="1" ht="14.25" customHeight="1">
      <c r="B22" s="41" t="s">
        <v>249</v>
      </c>
      <c r="C22" s="24"/>
      <c r="D22" s="24"/>
      <c r="E22" s="21">
        <f>'[4]cashflow.'!$U$25</f>
        <v>-1991.7909599999984</v>
      </c>
      <c r="F22" s="21"/>
      <c r="G22" s="196">
        <f>'[9]Sheet2'!$U$26</f>
        <v>7840.2444</v>
      </c>
      <c r="H22" s="21"/>
      <c r="I22" s="21">
        <v>-6280</v>
      </c>
      <c r="J22" s="21">
        <f>'CF12.09'!D28/1000</f>
        <v>-3186.2</v>
      </c>
      <c r="K22" s="209"/>
      <c r="L22" s="19"/>
    </row>
    <row r="23" spans="2:12" s="51" customFormat="1" ht="14.25" customHeight="1">
      <c r="B23" s="213" t="s">
        <v>240</v>
      </c>
      <c r="C23" s="24"/>
      <c r="D23" s="24"/>
      <c r="E23" s="21">
        <f>'[4]cashflow.'!$U$26</f>
        <v>770.346</v>
      </c>
      <c r="F23" s="21"/>
      <c r="G23" s="196">
        <f>'[9]Sheet2'!$U$27</f>
        <v>-3445.774</v>
      </c>
      <c r="H23" s="21"/>
      <c r="I23" s="21">
        <v>-1735</v>
      </c>
      <c r="J23" s="21">
        <f>'CF12.09'!D29/1000</f>
        <v>-1774.921</v>
      </c>
      <c r="K23" s="209"/>
      <c r="L23" s="19"/>
    </row>
    <row r="24" spans="2:12" s="51" customFormat="1" ht="14.25" customHeight="1">
      <c r="B24" s="41" t="s">
        <v>241</v>
      </c>
      <c r="C24" s="20"/>
      <c r="D24" s="20"/>
      <c r="E24" s="21">
        <f>'[4]cashflow.'!$U$27</f>
        <v>8.91215000000011</v>
      </c>
      <c r="F24" s="21"/>
      <c r="G24" s="196">
        <f>'[9]Sheet2'!$U$28</f>
        <v>-4281.96617</v>
      </c>
      <c r="H24" s="21"/>
      <c r="I24" s="21">
        <v>-793</v>
      </c>
      <c r="J24" s="21">
        <f>'CF12.09'!D30/1000</f>
        <v>1373.389</v>
      </c>
      <c r="K24" s="209"/>
      <c r="L24" s="19"/>
    </row>
    <row r="25" spans="2:12" s="51" customFormat="1" ht="14.25" customHeight="1">
      <c r="B25" s="41" t="s">
        <v>250</v>
      </c>
      <c r="C25" s="20"/>
      <c r="D25" s="20"/>
      <c r="E25" s="21">
        <f>'[4]cashflow.'!$U$28</f>
        <v>-230.72018999999818</v>
      </c>
      <c r="F25" s="21"/>
      <c r="G25" s="196">
        <f>'[9]Sheet2'!$U$32</f>
        <v>1744.1941700000011</v>
      </c>
      <c r="H25" s="21"/>
      <c r="I25" s="21">
        <v>-444</v>
      </c>
      <c r="J25" s="21">
        <f>'CF12.09'!D31/1000</f>
        <v>189.777</v>
      </c>
      <c r="K25" s="209"/>
      <c r="L25" s="19"/>
    </row>
    <row r="26" spans="2:12" s="51" customFormat="1" ht="14.25" customHeight="1">
      <c r="B26" s="213" t="s">
        <v>248</v>
      </c>
      <c r="C26" s="20"/>
      <c r="D26" s="20"/>
      <c r="E26" s="21"/>
      <c r="F26" s="21"/>
      <c r="G26" s="196">
        <f>'[9]Sheet2'!$U$33</f>
        <v>-3256.989</v>
      </c>
      <c r="H26" s="21"/>
      <c r="I26" s="21">
        <v>0</v>
      </c>
      <c r="J26" s="21"/>
      <c r="K26" s="209"/>
      <c r="L26" s="19"/>
    </row>
    <row r="27" spans="2:12" s="51" customFormat="1" ht="15" thickBot="1">
      <c r="B27" s="40" t="s">
        <v>251</v>
      </c>
      <c r="C27" s="20"/>
      <c r="D27" s="20"/>
      <c r="E27" s="22">
        <f>'[4]cashflow.'!$U$29</f>
        <v>-780.1700500000002</v>
      </c>
      <c r="F27" s="28"/>
      <c r="G27" s="199">
        <f>'[9]Sheet2'!$U$34</f>
        <v>-1897.7285100000001</v>
      </c>
      <c r="H27" s="28"/>
      <c r="I27" s="22">
        <v>6275</v>
      </c>
      <c r="J27" s="22">
        <f>'CF12.09'!D32/1000</f>
        <v>-271.731</v>
      </c>
      <c r="K27" s="209"/>
      <c r="L27" s="19"/>
    </row>
    <row r="28" spans="2:12" s="51" customFormat="1" ht="14.25">
      <c r="B28" s="214"/>
      <c r="C28" s="24"/>
      <c r="D28" s="24"/>
      <c r="E28" s="21"/>
      <c r="F28" s="21"/>
      <c r="G28" s="196"/>
      <c r="H28" s="21"/>
      <c r="I28" s="21"/>
      <c r="J28" s="21"/>
      <c r="K28" s="209"/>
      <c r="L28" s="19"/>
    </row>
    <row r="29" spans="2:12" s="51" customFormat="1" ht="14.25" customHeight="1">
      <c r="B29" s="212" t="s">
        <v>105</v>
      </c>
      <c r="C29" s="20"/>
      <c r="D29" s="20"/>
      <c r="E29" s="49">
        <f>'[4]cashflow.'!$U$32</f>
        <v>254.40860000000794</v>
      </c>
      <c r="F29" s="49"/>
      <c r="G29" s="198">
        <f>SUM(G20:G28)+G17-1</f>
        <v>850.9987299999921</v>
      </c>
      <c r="H29" s="21"/>
      <c r="I29" s="49">
        <f>SUM(I17:I27)</f>
        <v>13529</v>
      </c>
      <c r="J29" s="49">
        <f>'CF12.09'!D34/1000</f>
        <v>14657.121</v>
      </c>
      <c r="K29" s="209"/>
      <c r="L29" s="19"/>
    </row>
    <row r="30" spans="2:12" s="51" customFormat="1" ht="14.25">
      <c r="B30" s="214"/>
      <c r="C30" s="24"/>
      <c r="D30" s="24"/>
      <c r="E30" s="21"/>
      <c r="F30" s="21"/>
      <c r="G30" s="196"/>
      <c r="H30" s="21"/>
      <c r="I30" s="21"/>
      <c r="J30" s="21"/>
      <c r="K30" s="209"/>
      <c r="L30" s="19"/>
    </row>
    <row r="31" spans="2:12" s="51" customFormat="1" ht="14.25" customHeight="1">
      <c r="B31" s="45" t="s">
        <v>9</v>
      </c>
      <c r="C31" s="18"/>
      <c r="D31" s="18"/>
      <c r="E31" s="21">
        <f>'[4]cashflow.'!$R$34</f>
        <v>-43</v>
      </c>
      <c r="F31" s="21"/>
      <c r="G31" s="196">
        <f>'[9]Sheet2'!$U$41+'[9]Sheet2'!$U$42</f>
        <v>-1496.7107099999998</v>
      </c>
      <c r="H31" s="21"/>
      <c r="I31" s="21">
        <v>-2128</v>
      </c>
      <c r="J31" s="21">
        <f>'CF12.09'!D36/1000</f>
        <v>-134.101</v>
      </c>
      <c r="K31" s="209"/>
      <c r="L31" s="19"/>
    </row>
    <row r="32" spans="2:12" s="51" customFormat="1" ht="14.25">
      <c r="B32" s="45" t="s">
        <v>70</v>
      </c>
      <c r="C32" s="18"/>
      <c r="D32" s="18"/>
      <c r="E32" s="21">
        <f>'[4]cashflow.'!$R$35</f>
        <v>-832</v>
      </c>
      <c r="F32" s="21"/>
      <c r="G32" s="196">
        <f>'[9]Sheet2'!$U$43</f>
        <v>-2400</v>
      </c>
      <c r="H32" s="28"/>
      <c r="I32" s="28">
        <v>-3414</v>
      </c>
      <c r="J32" s="21">
        <f>'CF12.09'!D37/1000</f>
        <v>-3491.456</v>
      </c>
      <c r="K32" s="209"/>
      <c r="L32" s="19"/>
    </row>
    <row r="33" spans="2:12" s="51" customFormat="1" ht="15" thickBot="1">
      <c r="B33" s="45"/>
      <c r="C33" s="18"/>
      <c r="D33" s="18"/>
      <c r="E33" s="22"/>
      <c r="F33" s="28"/>
      <c r="G33" s="199"/>
      <c r="H33" s="21"/>
      <c r="I33" s="22"/>
      <c r="J33" s="22"/>
      <c r="K33" s="209"/>
      <c r="L33" s="19"/>
    </row>
    <row r="34" spans="2:12" s="51" customFormat="1" ht="15.75" thickBot="1">
      <c r="B34" s="215" t="s">
        <v>44</v>
      </c>
      <c r="C34" s="18"/>
      <c r="D34" s="18"/>
      <c r="E34" s="50">
        <f>'[4]cashflow.'!$U$37</f>
        <v>-620.5913999999921</v>
      </c>
      <c r="F34" s="112"/>
      <c r="G34" s="200">
        <f>SUM(G29:G33)</f>
        <v>-3045.7119800000078</v>
      </c>
      <c r="H34" s="28"/>
      <c r="I34" s="50">
        <f>SUM(I29:I33)</f>
        <v>7987</v>
      </c>
      <c r="J34" s="160">
        <f>'CF12.09'!D39/1000</f>
        <v>11031.564</v>
      </c>
      <c r="K34" s="209"/>
      <c r="L34" s="19"/>
    </row>
    <row r="35" spans="2:12" s="51" customFormat="1" ht="14.25">
      <c r="B35" s="45"/>
      <c r="C35" s="18"/>
      <c r="D35" s="18"/>
      <c r="E35" s="102"/>
      <c r="F35" s="102"/>
      <c r="G35" s="201"/>
      <c r="H35" s="102"/>
      <c r="I35" s="102"/>
      <c r="J35" s="102"/>
      <c r="K35" s="209"/>
      <c r="L35" s="19"/>
    </row>
    <row r="36" spans="2:12" s="51" customFormat="1" ht="14.25">
      <c r="B36" s="45"/>
      <c r="C36" s="19"/>
      <c r="D36" s="19"/>
      <c r="E36" s="21"/>
      <c r="F36" s="21"/>
      <c r="G36" s="196"/>
      <c r="H36" s="21"/>
      <c r="I36" s="21"/>
      <c r="J36" s="21"/>
      <c r="K36" s="209"/>
      <c r="L36" s="19"/>
    </row>
    <row r="37" spans="2:12" s="51" customFormat="1" ht="15" customHeight="1">
      <c r="B37" s="215" t="s">
        <v>71</v>
      </c>
      <c r="C37" s="25"/>
      <c r="D37" s="25"/>
      <c r="E37" s="21"/>
      <c r="F37" s="21"/>
      <c r="G37" s="196"/>
      <c r="H37" s="21"/>
      <c r="I37" s="21"/>
      <c r="J37" s="21"/>
      <c r="K37" s="210"/>
      <c r="L37" s="19"/>
    </row>
    <row r="38" spans="2:12" s="51" customFormat="1" ht="14.25">
      <c r="B38" s="42" t="s">
        <v>72</v>
      </c>
      <c r="C38" s="18"/>
      <c r="D38" s="18"/>
      <c r="E38" s="21">
        <f>'[4]cashflow.'!$U$41+'[4]cashflow.'!$U$42</f>
        <v>146</v>
      </c>
      <c r="F38" s="21"/>
      <c r="G38" s="196">
        <f>'[9]Sheet2'!$U$49+'[9]Sheet2'!$U$50</f>
        <v>632.44001</v>
      </c>
      <c r="H38" s="21"/>
      <c r="I38" s="21">
        <v>252</v>
      </c>
      <c r="J38" s="21">
        <f>'CF12.09'!D45/1000+'CF12.09'!D44/1000</f>
        <v>419.404</v>
      </c>
      <c r="K38" s="209"/>
      <c r="L38" s="19"/>
    </row>
    <row r="39" spans="2:12" s="51" customFormat="1" ht="14.25">
      <c r="B39" s="42" t="s">
        <v>90</v>
      </c>
      <c r="C39" s="19"/>
      <c r="D39" s="19"/>
      <c r="E39" s="21">
        <v>0</v>
      </c>
      <c r="F39" s="21"/>
      <c r="G39" s="196">
        <f>'[9]Sheet2'!$U$53</f>
        <v>-500.44016000000016</v>
      </c>
      <c r="H39" s="21"/>
      <c r="I39" s="21">
        <v>0</v>
      </c>
      <c r="J39" s="21">
        <f>'CF12.09'!D46/1000</f>
        <v>-500.682</v>
      </c>
      <c r="K39" s="209"/>
      <c r="L39" s="19"/>
    </row>
    <row r="40" spans="2:12" s="51" customFormat="1" ht="14.25">
      <c r="B40" s="42" t="s">
        <v>73</v>
      </c>
      <c r="C40" s="19"/>
      <c r="D40" s="19"/>
      <c r="E40" s="21">
        <f>'[4]cashflow.'!$U$45</f>
        <v>-1142</v>
      </c>
      <c r="F40" s="21"/>
      <c r="G40" s="196">
        <f>'[9]Sheet2'!$U$54</f>
        <v>-15257.11768</v>
      </c>
      <c r="H40" s="21"/>
      <c r="I40" s="21">
        <v>-637</v>
      </c>
      <c r="J40" s="21">
        <f>'CF12.09'!D47/1000</f>
        <v>-11636.454</v>
      </c>
      <c r="K40" s="209"/>
      <c r="L40" s="19"/>
    </row>
    <row r="41" spans="2:12" s="51" customFormat="1" ht="15" thickBot="1">
      <c r="B41" s="45"/>
      <c r="C41" s="19"/>
      <c r="D41" s="19"/>
      <c r="E41" s="22"/>
      <c r="F41" s="28"/>
      <c r="G41" s="199"/>
      <c r="H41" s="28"/>
      <c r="I41" s="22"/>
      <c r="J41" s="22"/>
      <c r="K41" s="209"/>
      <c r="L41" s="19"/>
    </row>
    <row r="42" spans="2:13" s="51" customFormat="1" ht="15.75" thickBot="1">
      <c r="B42" s="45" t="s">
        <v>134</v>
      </c>
      <c r="C42" s="18"/>
      <c r="D42" s="18"/>
      <c r="E42" s="50">
        <f>'[4]cashflow.'!$U$48</f>
        <v>-996</v>
      </c>
      <c r="F42" s="112"/>
      <c r="G42" s="200">
        <f>SUM(G38:G41)</f>
        <v>-15125.11783</v>
      </c>
      <c r="H42" s="28"/>
      <c r="I42" s="50">
        <f>SUM(I38:I41)</f>
        <v>-385</v>
      </c>
      <c r="J42" s="50">
        <f>'CF12.09'!D49/1000</f>
        <v>3761.747</v>
      </c>
      <c r="K42" s="209"/>
      <c r="L42" s="19"/>
      <c r="M42" s="103"/>
    </row>
    <row r="43" spans="2:12" s="51" customFormat="1" ht="14.25">
      <c r="B43" s="214"/>
      <c r="C43" s="19"/>
      <c r="D43" s="19"/>
      <c r="E43" s="21"/>
      <c r="F43" s="21"/>
      <c r="G43" s="196"/>
      <c r="H43" s="21"/>
      <c r="I43" s="21"/>
      <c r="J43" s="21"/>
      <c r="K43" s="209"/>
      <c r="L43" s="19"/>
    </row>
    <row r="44" spans="2:12" s="51" customFormat="1" ht="15" customHeight="1">
      <c r="B44" s="215" t="s">
        <v>75</v>
      </c>
      <c r="C44" s="25"/>
      <c r="D44" s="25"/>
      <c r="E44" s="21"/>
      <c r="F44" s="21"/>
      <c r="G44" s="196"/>
      <c r="H44" s="21"/>
      <c r="I44" s="21"/>
      <c r="J44" s="21"/>
      <c r="K44" s="211"/>
      <c r="L44" s="18"/>
    </row>
    <row r="45" spans="2:12" s="51" customFormat="1" ht="14.25" customHeight="1" hidden="1">
      <c r="B45" s="213" t="s">
        <v>192</v>
      </c>
      <c r="C45" s="18"/>
      <c r="D45" s="18"/>
      <c r="E45" s="21">
        <v>0</v>
      </c>
      <c r="F45" s="21"/>
      <c r="G45" s="196">
        <v>0</v>
      </c>
      <c r="H45" s="21"/>
      <c r="I45" s="21">
        <v>0</v>
      </c>
      <c r="J45" s="21">
        <f>'CF12.09'!D53/1000</f>
        <v>13320</v>
      </c>
      <c r="K45" s="209"/>
      <c r="L45" s="19"/>
    </row>
    <row r="46" spans="2:12" s="51" customFormat="1" ht="14.25" customHeight="1" hidden="1">
      <c r="B46" s="213" t="s">
        <v>193</v>
      </c>
      <c r="C46" s="18"/>
      <c r="D46" s="18"/>
      <c r="E46" s="21">
        <f>'[4]cashflow.'!$U$55</f>
        <v>-161.806</v>
      </c>
      <c r="F46" s="21"/>
      <c r="G46" s="196">
        <v>0</v>
      </c>
      <c r="H46" s="21"/>
      <c r="I46" s="21">
        <v>0</v>
      </c>
      <c r="J46" s="21">
        <f>'CF12.09'!D54/1000</f>
        <v>1785.884</v>
      </c>
      <c r="K46" s="209"/>
      <c r="L46" s="19"/>
    </row>
    <row r="47" spans="2:12" s="51" customFormat="1" ht="14.25" customHeight="1">
      <c r="B47" s="213" t="s">
        <v>76</v>
      </c>
      <c r="C47" s="18"/>
      <c r="D47" s="18"/>
      <c r="E47" s="21">
        <f>'[4]cashflow.'!$U$52</f>
        <v>-6</v>
      </c>
      <c r="F47" s="21"/>
      <c r="G47" s="196">
        <f>'[9]Sheet2'!$U$61</f>
        <v>-12.80975</v>
      </c>
      <c r="H47" s="21"/>
      <c r="I47" s="21">
        <v>-16</v>
      </c>
      <c r="J47" s="21">
        <f>'CF12.09'!D55/1000</f>
        <v>-9.886</v>
      </c>
      <c r="K47" s="209"/>
      <c r="L47" s="19"/>
    </row>
    <row r="48" spans="2:12" s="51" customFormat="1" ht="14.25" customHeight="1">
      <c r="B48" s="213" t="s">
        <v>194</v>
      </c>
      <c r="C48" s="18"/>
      <c r="D48" s="18"/>
      <c r="E48" s="21">
        <f>'[4]cashflow.'!$U$53</f>
        <v>-15</v>
      </c>
      <c r="F48" s="21"/>
      <c r="G48" s="196">
        <f>'[9]Sheet2'!$U$62</f>
        <v>-913.2986</v>
      </c>
      <c r="H48" s="21"/>
      <c r="I48" s="21">
        <v>-78</v>
      </c>
      <c r="J48" s="21">
        <f>'CF12.09'!D56/1000</f>
        <v>-26.016</v>
      </c>
      <c r="K48" s="209"/>
      <c r="L48" s="19"/>
    </row>
    <row r="49" spans="2:12" s="51" customFormat="1" ht="14.25" customHeight="1">
      <c r="B49" s="213" t="s">
        <v>77</v>
      </c>
      <c r="C49" s="18"/>
      <c r="D49" s="18"/>
      <c r="E49" s="21">
        <f>'[4]cashflow.'!$U$54</f>
        <v>-440</v>
      </c>
      <c r="F49" s="21"/>
      <c r="G49" s="196">
        <f>'[9]Sheet2'!$U$63</f>
        <v>-73.43253000000003</v>
      </c>
      <c r="H49" s="21"/>
      <c r="I49" s="21">
        <v>-98</v>
      </c>
      <c r="J49" s="21">
        <f>'CF12.09'!D57/1000</f>
        <v>-63.273</v>
      </c>
      <c r="K49" s="209"/>
      <c r="L49" s="19"/>
    </row>
    <row r="50" spans="2:12" s="51" customFormat="1" ht="14.25" customHeight="1">
      <c r="B50" s="213" t="s">
        <v>195</v>
      </c>
      <c r="C50" s="18"/>
      <c r="D50" s="18"/>
      <c r="E50" s="21">
        <v>0</v>
      </c>
      <c r="F50" s="21"/>
      <c r="G50" s="202">
        <f>'[9]Sheet2'!$U$70</f>
        <v>0</v>
      </c>
      <c r="H50" s="28"/>
      <c r="I50" s="28">
        <v>-1453</v>
      </c>
      <c r="J50" s="21">
        <f>'CF12.09'!D58/1000</f>
        <v>-666.77</v>
      </c>
      <c r="K50" s="209"/>
      <c r="L50" s="19"/>
    </row>
    <row r="51" spans="2:12" s="51" customFormat="1" ht="14.25" customHeight="1">
      <c r="B51" s="213" t="s">
        <v>252</v>
      </c>
      <c r="C51" s="18"/>
      <c r="D51" s="18"/>
      <c r="E51" s="21"/>
      <c r="F51" s="21"/>
      <c r="G51" s="196">
        <f>'[9]Sheet2'!$U$65</f>
        <v>31200</v>
      </c>
      <c r="H51" s="28"/>
      <c r="I51" s="28">
        <v>0</v>
      </c>
      <c r="J51" s="21"/>
      <c r="K51" s="209"/>
      <c r="L51" s="19"/>
    </row>
    <row r="52" spans="2:12" s="51" customFormat="1" ht="14.25" customHeight="1">
      <c r="B52" s="213" t="s">
        <v>234</v>
      </c>
      <c r="C52" s="18"/>
      <c r="D52" s="18"/>
      <c r="E52" s="21">
        <f>'[4]cashflow.'!$U$51</f>
        <v>-1007.242</v>
      </c>
      <c r="F52" s="21"/>
      <c r="G52" s="196">
        <f>'[9]Sheet2'!$U$60</f>
        <v>2714</v>
      </c>
      <c r="H52" s="28"/>
      <c r="I52" s="28">
        <v>2666</v>
      </c>
      <c r="J52" s="21">
        <f>'CF12.09'!D60/1000</f>
        <v>-2812.839</v>
      </c>
      <c r="K52" s="209"/>
      <c r="L52" s="19"/>
    </row>
    <row r="53" spans="2:12" s="51" customFormat="1" ht="14.25" customHeight="1">
      <c r="B53" s="213" t="s">
        <v>235</v>
      </c>
      <c r="C53" s="18"/>
      <c r="D53" s="18"/>
      <c r="E53" s="21"/>
      <c r="F53" s="21"/>
      <c r="G53" s="196">
        <f>'[9]Sheet2'!$U$64</f>
        <v>-3947.9075300000013</v>
      </c>
      <c r="H53" s="28"/>
      <c r="I53" s="28">
        <v>-392</v>
      </c>
      <c r="J53" s="21"/>
      <c r="K53" s="209"/>
      <c r="L53" s="19"/>
    </row>
    <row r="54" spans="2:12" s="51" customFormat="1" ht="14.25" customHeight="1">
      <c r="B54" s="213" t="s">
        <v>257</v>
      </c>
      <c r="C54" s="18"/>
      <c r="D54" s="18"/>
      <c r="E54" s="21"/>
      <c r="F54" s="21"/>
      <c r="G54" s="196">
        <v>0</v>
      </c>
      <c r="H54" s="28"/>
      <c r="I54" s="28">
        <v>-5000</v>
      </c>
      <c r="J54" s="21"/>
      <c r="K54" s="209"/>
      <c r="L54" s="19"/>
    </row>
    <row r="55" spans="2:12" s="51" customFormat="1" ht="14.25" customHeight="1" thickBot="1">
      <c r="B55" s="213" t="s">
        <v>228</v>
      </c>
      <c r="C55" s="18"/>
      <c r="D55" s="18"/>
      <c r="E55" s="22"/>
      <c r="F55" s="28"/>
      <c r="G55" s="199">
        <f>'[9]Sheet2'!$U$67</f>
        <v>-4800</v>
      </c>
      <c r="H55" s="28"/>
      <c r="I55" s="22">
        <v>-1800</v>
      </c>
      <c r="J55" s="22"/>
      <c r="K55" s="209"/>
      <c r="L55" s="19"/>
    </row>
    <row r="56" spans="2:12" s="51" customFormat="1" ht="18" customHeight="1" thickBot="1">
      <c r="B56" s="216"/>
      <c r="C56" s="20"/>
      <c r="D56" s="20"/>
      <c r="E56" s="53">
        <f>'[4]cashflow.'!$U$63</f>
        <v>-1267.048</v>
      </c>
      <c r="F56" s="173"/>
      <c r="G56" s="203">
        <f>SUM(G45:G55)</f>
        <v>24166.55159</v>
      </c>
      <c r="H56" s="28"/>
      <c r="I56" s="50">
        <f>SUM(I45:I55)</f>
        <v>-6171</v>
      </c>
      <c r="J56" s="50">
        <f>'CF12.09'!D63/1000</f>
        <v>4006.676</v>
      </c>
      <c r="K56" s="209"/>
      <c r="L56" s="19"/>
    </row>
    <row r="57" spans="2:12" s="51" customFormat="1" ht="14.25">
      <c r="B57" s="45"/>
      <c r="C57" s="18"/>
      <c r="D57" s="18"/>
      <c r="E57" s="102"/>
      <c r="F57" s="102"/>
      <c r="G57" s="201"/>
      <c r="H57" s="28"/>
      <c r="I57" s="28"/>
      <c r="J57" s="102"/>
      <c r="K57" s="209"/>
      <c r="L57" s="19"/>
    </row>
    <row r="58" spans="2:12" s="51" customFormat="1" ht="14.25" customHeight="1">
      <c r="B58" s="215" t="s">
        <v>145</v>
      </c>
      <c r="C58" s="18"/>
      <c r="D58" s="18"/>
      <c r="E58" s="21">
        <f>'[4]cashflow.'!$U$65</f>
        <v>-2883.639399999992</v>
      </c>
      <c r="F58" s="21"/>
      <c r="G58" s="196">
        <f>G34+G42+G56</f>
        <v>5995.721779999993</v>
      </c>
      <c r="H58" s="28"/>
      <c r="I58" s="28">
        <f>I34+I42+I56</f>
        <v>1431</v>
      </c>
      <c r="J58" s="21">
        <f>'CF12.09'!D65/1000</f>
        <v>18799.987</v>
      </c>
      <c r="K58" s="28"/>
      <c r="L58" s="19"/>
    </row>
    <row r="59" spans="2:12" s="51" customFormat="1" ht="14.25">
      <c r="B59" s="213"/>
      <c r="C59" s="19"/>
      <c r="D59" s="19"/>
      <c r="E59" s="21"/>
      <c r="F59" s="21"/>
      <c r="G59" s="196"/>
      <c r="H59" s="28"/>
      <c r="I59" s="28"/>
      <c r="J59" s="21"/>
      <c r="K59" s="209"/>
      <c r="L59" s="19"/>
    </row>
    <row r="60" spans="2:12" s="51" customFormat="1" ht="14.25" customHeight="1" thickBot="1">
      <c r="B60" s="247" t="s">
        <v>100</v>
      </c>
      <c r="C60" s="20"/>
      <c r="D60" s="20"/>
      <c r="E60" s="22">
        <f>'[4]cashflow.'!$U$67</f>
        <v>18800</v>
      </c>
      <c r="F60" s="28"/>
      <c r="G60" s="199">
        <f>'[5]Sheet2'!$U$76</f>
        <v>20570.722</v>
      </c>
      <c r="H60" s="28"/>
      <c r="I60" s="22">
        <v>18800</v>
      </c>
      <c r="J60" s="22">
        <f>'CF12.09'!D68/1000</f>
        <v>0.002</v>
      </c>
      <c r="K60" s="209"/>
      <c r="L60" s="19"/>
    </row>
    <row r="61" spans="2:12" s="51" customFormat="1" ht="14.25">
      <c r="B61" s="247"/>
      <c r="C61" s="20"/>
      <c r="D61" s="20"/>
      <c r="E61" s="102"/>
      <c r="F61" s="102"/>
      <c r="G61" s="201"/>
      <c r="H61" s="28"/>
      <c r="I61" s="28"/>
      <c r="J61" s="102"/>
      <c r="K61" s="209"/>
      <c r="L61" s="19"/>
    </row>
    <row r="62" spans="2:12" s="51" customFormat="1" ht="15.75" thickBot="1">
      <c r="B62" s="247" t="s">
        <v>135</v>
      </c>
      <c r="C62" s="20"/>
      <c r="D62" s="19"/>
      <c r="E62" s="111">
        <f>'[4]cashflow.'!$U$69</f>
        <v>15916.360600000007</v>
      </c>
      <c r="F62" s="112"/>
      <c r="G62" s="204">
        <f>SUM(G58:G60)+1</f>
        <v>26567.443779999994</v>
      </c>
      <c r="H62" s="112"/>
      <c r="I62" s="111">
        <f>SUM(I58:I60)</f>
        <v>20231</v>
      </c>
      <c r="J62" s="111">
        <f>'CF12.09'!D70/1000</f>
        <v>18799.989</v>
      </c>
      <c r="K62" s="209"/>
      <c r="L62" s="19"/>
    </row>
    <row r="63" spans="2:11" s="51" customFormat="1" ht="15" thickTop="1">
      <c r="B63" s="247"/>
      <c r="G63" s="190"/>
      <c r="H63" s="28"/>
      <c r="I63" s="28"/>
      <c r="K63" s="184"/>
    </row>
    <row r="64" spans="2:11" s="51" customFormat="1" ht="14.25">
      <c r="B64" s="12"/>
      <c r="G64" s="190"/>
      <c r="H64" s="28"/>
      <c r="I64" s="28"/>
      <c r="K64" s="184"/>
    </row>
    <row r="65" spans="2:11" s="51" customFormat="1" ht="14.25">
      <c r="B65" s="2" t="s">
        <v>96</v>
      </c>
      <c r="G65" s="190"/>
      <c r="H65" s="28"/>
      <c r="I65" s="28"/>
      <c r="K65" s="184"/>
    </row>
    <row r="66" spans="2:11" s="51" customFormat="1" ht="14.25">
      <c r="B66" s="12" t="s">
        <v>81</v>
      </c>
      <c r="E66" s="102">
        <f>'[4]cashflow.'!$N$75</f>
        <v>29350</v>
      </c>
      <c r="F66" s="102"/>
      <c r="G66" s="201">
        <f>'[9]Sheet2'!$U$83+'[9]Sheet2'!$U$84</f>
        <v>30436.335</v>
      </c>
      <c r="H66" s="28"/>
      <c r="I66" s="28">
        <v>26883</v>
      </c>
      <c r="J66" s="21">
        <f>'CF12.09'!D83/1000+'CF12.09'!D85/1000</f>
        <v>28249.176</v>
      </c>
      <c r="K66" s="184"/>
    </row>
    <row r="67" spans="2:11" s="51" customFormat="1" ht="14.25">
      <c r="B67" s="12" t="s">
        <v>82</v>
      </c>
      <c r="E67" s="102">
        <f>'[4]cashflow.'!$N$76</f>
        <v>3944</v>
      </c>
      <c r="F67" s="102"/>
      <c r="G67" s="201">
        <f>'[9]Sheet2'!$U$85</f>
        <v>11366</v>
      </c>
      <c r="H67" s="28"/>
      <c r="I67" s="28">
        <v>8340</v>
      </c>
      <c r="J67" s="21">
        <f>'CF12.09'!D86/1000</f>
        <v>3199.333</v>
      </c>
      <c r="K67" s="184"/>
    </row>
    <row r="68" spans="2:11" s="51" customFormat="1" ht="15" thickBot="1">
      <c r="B68" s="12" t="s">
        <v>83</v>
      </c>
      <c r="E68" s="123">
        <f>'[4]cashflow.'!$N$77</f>
        <v>-8541</v>
      </c>
      <c r="F68" s="174"/>
      <c r="G68" s="205">
        <f>'[9]Sheet2'!$U$86</f>
        <v>-2927.8808799999997</v>
      </c>
      <c r="I68" s="183">
        <v>-5154</v>
      </c>
      <c r="J68" s="22">
        <f>'CF12.09'!D87/1000</f>
        <v>-3959.186</v>
      </c>
      <c r="K68" s="184"/>
    </row>
    <row r="69" spans="2:11" s="51" customFormat="1" ht="14.25">
      <c r="B69" s="12"/>
      <c r="E69" s="102">
        <f>'[4]cashflow.'!$N$78</f>
        <v>24753</v>
      </c>
      <c r="F69" s="102"/>
      <c r="G69" s="201">
        <f>SUM(G66:G68)</f>
        <v>38874.45412</v>
      </c>
      <c r="I69" s="102">
        <f>SUM(I66:I68)</f>
        <v>30069</v>
      </c>
      <c r="J69" s="21">
        <f>'CF12.09'!D89/1000</f>
        <v>27489.323</v>
      </c>
      <c r="K69" s="184"/>
    </row>
    <row r="70" spans="2:11" s="51" customFormat="1" ht="14.25">
      <c r="B70" s="43" t="s">
        <v>138</v>
      </c>
      <c r="C70" s="104"/>
      <c r="E70" s="102">
        <f>'[4]cashflow.'!$N$79</f>
        <v>-8843</v>
      </c>
      <c r="F70" s="102"/>
      <c r="G70" s="201">
        <f>'[9]Sheet2'!$U$88</f>
        <v>-12307.335</v>
      </c>
      <c r="I70" s="184">
        <v>-9838</v>
      </c>
      <c r="J70" s="21">
        <f>'CF12.09'!D91/1000</f>
        <v>-8689.334</v>
      </c>
      <c r="K70" s="184"/>
    </row>
    <row r="71" spans="2:11" s="51" customFormat="1" ht="15.75" thickBot="1">
      <c r="B71" s="12"/>
      <c r="E71" s="113">
        <f>'[4]cashflow.'!$N$80</f>
        <v>15910</v>
      </c>
      <c r="F71" s="175"/>
      <c r="G71" s="206">
        <f>SUM(G69:G70)</f>
        <v>26567.119120000003</v>
      </c>
      <c r="H71" s="112"/>
      <c r="I71" s="182">
        <f>SUM(I69:I70)</f>
        <v>20231</v>
      </c>
      <c r="J71" s="170">
        <f>'CF12.09'!D93/1000</f>
        <v>18799.989</v>
      </c>
      <c r="K71" s="184"/>
    </row>
    <row r="72" spans="7:11" s="51" customFormat="1" ht="15" thickTop="1">
      <c r="G72" s="208"/>
      <c r="H72" s="28"/>
      <c r="I72" s="28"/>
      <c r="K72" s="184"/>
    </row>
    <row r="73" spans="2:9" s="51" customFormat="1" ht="14.25" hidden="1">
      <c r="B73" s="51" t="s">
        <v>124</v>
      </c>
      <c r="E73" s="103"/>
      <c r="F73" s="103"/>
      <c r="G73" s="207"/>
      <c r="H73" s="28"/>
      <c r="I73" s="28"/>
    </row>
    <row r="74" s="51" customFormat="1" ht="12.75" customHeight="1">
      <c r="G74" s="190"/>
    </row>
    <row r="75" spans="2:7" s="51" customFormat="1" ht="16.5">
      <c r="B75" s="124" t="s">
        <v>227</v>
      </c>
      <c r="G75" s="190"/>
    </row>
    <row r="76" spans="2:7" s="51" customFormat="1" ht="16.5">
      <c r="B76" s="124" t="s">
        <v>247</v>
      </c>
      <c r="G76" s="190"/>
    </row>
    <row r="77" spans="2:7" s="51" customFormat="1" ht="16.5">
      <c r="B77" s="181" t="s">
        <v>99</v>
      </c>
      <c r="G77" s="190"/>
    </row>
  </sheetData>
  <sheetProtection/>
  <mergeCells count="6">
    <mergeCell ref="B60:B61"/>
    <mergeCell ref="B62:B63"/>
    <mergeCell ref="E5:E8"/>
    <mergeCell ref="J5:J8"/>
    <mergeCell ref="G5:G8"/>
    <mergeCell ref="I5:I8"/>
  </mergeCells>
  <printOptions/>
  <pageMargins left="0.52" right="0.17" top="0.22" bottom="0.16" header="0.17" footer="0.16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 Kwong Yokohama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TKYB</dc:creator>
  <cp:keywords/>
  <dc:description/>
  <cp:lastModifiedBy> </cp:lastModifiedBy>
  <cp:lastPrinted>2011-11-18T06:04:22Z</cp:lastPrinted>
  <dcterms:created xsi:type="dcterms:W3CDTF">2002-11-05T00:02:16Z</dcterms:created>
  <dcterms:modified xsi:type="dcterms:W3CDTF">2011-11-22T00:57:11Z</dcterms:modified>
  <cp:category/>
  <cp:version/>
  <cp:contentType/>
  <cp:contentStatus/>
</cp:coreProperties>
</file>